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ent_Overview_Excel" sheetId="1" r:id="rId4"/>
  </sheets>
  <definedNames>
    <definedName hidden="1" localSheetId="0" name="_xlnm._FilterDatabase">Content_Overview_Excel!$A$1:$L$1761</definedName>
    <definedName hidden="1" localSheetId="0" name="Z_C9636DAD_E00A_4F65_9D69_37D0320F0FF2_.wvu.FilterData">Content_Overview_Excel!$A$1:$L$1761</definedName>
  </definedNames>
  <calcPr/>
  <customWorkbookViews>
    <customWorkbookView activeSheetId="0" maximized="1" windowHeight="0" windowWidth="0" guid="{C9636DAD-E00A-4F65-9D69-37D0320F0FF2}" name="No Blanks"/>
  </customWorkbookViews>
</workbook>
</file>

<file path=xl/sharedStrings.xml><?xml version="1.0" encoding="utf-8"?>
<sst xmlns="http://schemas.openxmlformats.org/spreadsheetml/2006/main" count="12" uniqueCount="12">
  <si>
    <t>Course Title (DE)</t>
  </si>
  <si>
    <t>Course Title (EN)</t>
  </si>
  <si>
    <t>Course Description (DE)</t>
  </si>
  <si>
    <t>Course Description (EN)</t>
  </si>
  <si>
    <t>Power Skill</t>
  </si>
  <si>
    <t>Provider</t>
  </si>
  <si>
    <t>Course Duration (min)</t>
  </si>
  <si>
    <t>Learning Elements</t>
  </si>
  <si>
    <t>Lectures available in</t>
  </si>
  <si>
    <t>Audio available in</t>
  </si>
  <si>
    <t>Release Date</t>
  </si>
  <si>
    <t>URL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</si>
</sst>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quot; &quot;mmmm&quot; &quot;yyyy"/>
  </numFmts>
  <fonts count="12">
    <font>
      <sz val="10.0"/>
      <color rgb="FF000000"/>
      <name val="Arial"/>
      <scheme val="minor"/>
    </font>
    <font>
      <b/>
      <color rgb="FF000000"/>
      <name val="Arial"/>
    </font>
    <font>
      <b/>
      <sz val="9.0"/>
      <color theme="1"/>
      <name val="Arial"/>
    </font>
    <font>
      <sz val="6.0"/>
      <color theme="1"/>
      <name val="Arial"/>
    </font>
    <font>
      <sz val="8.0"/>
      <color theme="1"/>
      <name val="Arial"/>
    </font>
    <font>
      <color theme="1"/>
      <name val="Arial"/>
    </font>
    <font>
      <sz val="7.0"/>
      <color theme="1"/>
      <name val="Arial"/>
    </font>
    <font>
      <u/>
      <sz val="6.0"/>
      <color rgb="FF1155CC"/>
      <name val="Arial"/>
    </font>
    <font>
      <u/>
      <sz val="6.0"/>
      <color rgb="FF1155CC"/>
      <name val="Arial"/>
    </font>
    <font>
      <u/>
      <sz val="8.0"/>
      <color rgb="FF0000FF"/>
      <name val="Arial"/>
    </font>
    <font>
      <u/>
      <sz val="8.0"/>
      <color rgb="FF0000FF"/>
      <name val="Arial"/>
    </font>
    <font>
      <u/>
      <sz val="6.0"/>
      <color rgb="FF1155CC"/>
      <name val="Arial"/>
    </font>
  </fonts>
  <fills count="4">
    <fill>
      <patternFill patternType="none"/>
    </fill>
    <fill>
      <patternFill patternType="lightGray"/>
    </fill>
    <fill>
      <patternFill patternType="solid">
        <fgColor rgb="FFFED1D6"/>
        <bgColor rgb="FFFED1D6"/>
      </patternFill>
    </fill>
    <fill>
      <patternFill patternType="solid">
        <fgColor rgb="FFFEE2D5"/>
        <bgColor rgb="FFFEE2D5"/>
      </patternFill>
    </fill>
  </fills>
  <borders count="22">
    <border/>
    <border>
      <left style="thin">
        <color rgb="FFBF9DA1"/>
      </left>
      <right style="thin">
        <color rgb="FFFED1D6"/>
      </right>
      <top style="thin">
        <color rgb="FFBF9DA1"/>
      </top>
      <bottom style="thin">
        <color rgb="FFBF9DA1"/>
      </bottom>
    </border>
    <border>
      <left style="thin">
        <color rgb="FFFED1D6"/>
      </left>
      <right style="thin">
        <color rgb="FFFED1D6"/>
      </right>
      <top style="thin">
        <color rgb="FFBF9DA1"/>
      </top>
      <bottom style="thin">
        <color rgb="FFBF9DA1"/>
      </bottom>
    </border>
    <border>
      <left style="thin">
        <color rgb="FFFED1D6"/>
      </left>
      <right style="thin">
        <color rgb="FFBF9DA1"/>
      </right>
      <top style="thin">
        <color rgb="FFBF9DA1"/>
      </top>
      <bottom style="thin">
        <color rgb="FFBF9DA1"/>
      </bottom>
    </border>
    <border>
      <left style="thin">
        <color rgb="FFBF9DA1"/>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EE2D5"/>
      </left>
      <right style="thin">
        <color rgb="FFFEE2D5"/>
      </right>
      <top style="thin">
        <color rgb="FFFEE2D5"/>
      </top>
      <bottom style="thin">
        <color rgb="FFFEE2D5"/>
      </bottom>
    </border>
    <border>
      <left style="thin">
        <color rgb="FFFFFFFF"/>
      </left>
      <right style="thin">
        <color rgb="FFBF9DA1"/>
      </right>
      <top style="thin">
        <color rgb="FFFFFFFF"/>
      </top>
      <bottom style="thin">
        <color rgb="FFFFFFFF"/>
      </bottom>
    </border>
    <border>
      <left style="thin">
        <color rgb="FFBF9DA1"/>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C2F5E9"/>
      </left>
      <right style="thin">
        <color rgb="FFC2F5E9"/>
      </right>
      <top style="thin">
        <color rgb="FFC2F5E9"/>
      </top>
      <bottom style="thin">
        <color rgb="FFC2F5E9"/>
      </bottom>
    </border>
    <border>
      <left style="thin">
        <color rgb="FFF6F8F9"/>
      </left>
      <right style="thin">
        <color rgb="FFBF9DA1"/>
      </right>
      <top style="thin">
        <color rgb="FFF6F8F9"/>
      </top>
      <bottom style="thin">
        <color rgb="FFF6F8F9"/>
      </bottom>
    </border>
    <border>
      <left style="thin">
        <color rgb="FFFFEAB6"/>
      </left>
      <right style="thin">
        <color rgb="FFFFEAB6"/>
      </right>
      <top style="thin">
        <color rgb="FFFFEAB6"/>
      </top>
      <bottom style="thin">
        <color rgb="FFFFEAB6"/>
      </bottom>
    </border>
    <border>
      <left style="thin">
        <color rgb="FFD1F7C4"/>
      </left>
      <right style="thin">
        <color rgb="FFD1F7C4"/>
      </right>
      <top style="thin">
        <color rgb="FFD1F7C4"/>
      </top>
      <bottom style="thin">
        <color rgb="FFD1F7C4"/>
      </bottom>
    </border>
    <border>
      <left style="thin">
        <color rgb="FFCFDFFF"/>
      </left>
      <right style="thin">
        <color rgb="FFCFDFFF"/>
      </right>
      <top style="thin">
        <color rgb="FFCFDFFF"/>
      </top>
      <bottom style="thin">
        <color rgb="FFCFDFFF"/>
      </bottom>
    </border>
    <border>
      <left style="thin">
        <color rgb="FFEEEEEE"/>
      </left>
      <right style="thin">
        <color rgb="FFEEEEEE"/>
      </right>
      <top style="thin">
        <color rgb="FFEEEEEE"/>
      </top>
      <bottom style="thin">
        <color rgb="FFEEEEEE"/>
      </bottom>
    </border>
    <border>
      <left style="thin">
        <color rgb="FFD0F0FD"/>
      </left>
      <right style="thin">
        <color rgb="FFD0F0FD"/>
      </right>
      <top style="thin">
        <color rgb="FFD0F0FD"/>
      </top>
      <bottom style="thin">
        <color rgb="FFD0F0FD"/>
      </bottom>
    </border>
    <border>
      <left style="thin">
        <color rgb="FFFFDCE5"/>
      </left>
      <right style="thin">
        <color rgb="FFFFDCE5"/>
      </right>
      <top style="thin">
        <color rgb="FFFFDCE5"/>
      </top>
      <bottom style="thin">
        <color rgb="FFFFDCE5"/>
      </bottom>
    </border>
    <border>
      <left style="thin">
        <color rgb="FFBF9DA1"/>
      </left>
      <right style="thin">
        <color rgb="FFF6F8F9"/>
      </right>
      <top style="thin">
        <color rgb="FFF6F8F9"/>
      </top>
      <bottom style="thin">
        <color rgb="FFBF9DA1"/>
      </bottom>
    </border>
    <border>
      <left style="thin">
        <color rgb="FFF6F8F9"/>
      </left>
      <right style="thin">
        <color rgb="FFF6F8F9"/>
      </right>
      <top style="thin">
        <color rgb="FFF6F8F9"/>
      </top>
      <bottom style="thin">
        <color rgb="FFBF9DA1"/>
      </bottom>
    </border>
    <border>
      <left style="thin">
        <color rgb="FFFFFFFF"/>
      </left>
      <right style="thin">
        <color rgb="FFFFFFFF"/>
      </right>
      <top style="thin">
        <color rgb="FFFFFFFF"/>
      </top>
      <bottom style="thin">
        <color rgb="FFBF9DA1"/>
      </bottom>
    </border>
    <border>
      <left style="thin">
        <color rgb="FFF6F8F9"/>
      </left>
      <right style="thin">
        <color rgb="FFBF9DA1"/>
      </right>
      <top style="thin">
        <color rgb="FFF6F8F9"/>
      </top>
      <bottom style="thin">
        <color rgb="FFBF9DA1"/>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center" wrapText="1"/>
    </xf>
    <xf borderId="2" fillId="2" fontId="1" numFmtId="0" xfId="0" applyAlignment="1" applyBorder="1" applyFont="1">
      <alignment horizontal="left" readingOrder="0" shrinkToFit="0" vertical="center" wrapText="1"/>
    </xf>
    <xf borderId="2" fillId="2" fontId="1" numFmtId="49" xfId="0" applyAlignment="1" applyBorder="1" applyFont="1" applyNumberFormat="1">
      <alignment horizontal="center" readingOrder="0" shrinkToFit="0" vertical="center" wrapText="1"/>
    </xf>
    <xf borderId="2" fillId="2" fontId="1" numFmtId="0" xfId="0" applyAlignment="1" applyBorder="1" applyFont="1">
      <alignment horizontal="center" readingOrder="0" shrinkToFit="0" vertical="center" wrapText="1"/>
    </xf>
    <xf borderId="3" fillId="2" fontId="1" numFmtId="0" xfId="0" applyAlignment="1" applyBorder="1" applyFont="1">
      <alignment horizontal="center" readingOrder="0" shrinkToFit="0" vertical="center" wrapText="1"/>
    </xf>
    <xf borderId="4" fillId="0" fontId="2" numFmtId="0" xfId="0" applyAlignment="1" applyBorder="1" applyFont="1">
      <alignment shrinkToFit="0" vertical="center" wrapText="1"/>
    </xf>
    <xf borderId="5" fillId="0" fontId="2" numFmtId="0" xfId="0" applyAlignment="1" applyBorder="1" applyFont="1">
      <alignment shrinkToFit="0" vertical="center" wrapText="1"/>
    </xf>
    <xf borderId="5" fillId="0" fontId="3" numFmtId="0" xfId="0" applyAlignment="1" applyBorder="1" applyFont="1">
      <alignment shrinkToFit="0" vertical="center" wrapText="1"/>
    </xf>
    <xf borderId="6" fillId="3" fontId="4" numFmtId="0" xfId="0" applyAlignment="1" applyBorder="1" applyFill="1" applyFont="1">
      <alignment horizontal="center" shrinkToFit="0" vertical="center" wrapText="1"/>
    </xf>
    <xf borderId="5" fillId="0" fontId="4"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5" fillId="0" fontId="6" numFmtId="164" xfId="0" applyAlignment="1" applyBorder="1" applyFont="1" applyNumberFormat="1">
      <alignment horizontal="center" shrinkToFit="0" vertical="center" wrapText="1"/>
    </xf>
    <xf borderId="7" fillId="0" fontId="7" numFmtId="0" xfId="0" applyAlignment="1" applyBorder="1" applyFont="1">
      <alignment shrinkToFit="0" vertical="center" wrapText="1"/>
    </xf>
    <xf borderId="8" fillId="0" fontId="2" numFmtId="0" xfId="0" applyAlignment="1" applyBorder="1" applyFont="1">
      <alignment shrinkToFit="0" vertical="center" wrapText="1"/>
    </xf>
    <xf borderId="9" fillId="0" fontId="2" numFmtId="0" xfId="0" applyAlignment="1" applyBorder="1" applyFont="1">
      <alignment shrinkToFit="0" vertical="center" wrapText="1"/>
    </xf>
    <xf borderId="9" fillId="0" fontId="3" numFmtId="0" xfId="0" applyAlignment="1" applyBorder="1" applyFont="1">
      <alignment shrinkToFit="0" vertical="center" wrapText="1"/>
    </xf>
    <xf borderId="10" fillId="3" fontId="4"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9" fillId="0" fontId="5" numFmtId="0" xfId="0" applyAlignment="1" applyBorder="1" applyFont="1">
      <alignment horizontal="center" shrinkToFit="0" vertical="center" wrapText="1"/>
    </xf>
    <xf borderId="9" fillId="0" fontId="6" numFmtId="0" xfId="0" applyAlignment="1" applyBorder="1" applyFont="1">
      <alignment horizontal="center" shrinkToFit="0" vertical="center" wrapText="1"/>
    </xf>
    <xf borderId="9" fillId="0" fontId="6" numFmtId="164" xfId="0" applyAlignment="1" applyBorder="1" applyFont="1" applyNumberFormat="1">
      <alignment horizontal="center" shrinkToFit="0" vertical="center" wrapText="1"/>
    </xf>
    <xf borderId="11" fillId="0" fontId="8" numFmtId="0" xfId="0" applyAlignment="1" applyBorder="1" applyFont="1">
      <alignment shrinkToFit="0" vertical="center" wrapText="1"/>
    </xf>
    <xf borderId="12" fillId="3" fontId="4" numFmtId="0" xfId="0" applyAlignment="1" applyBorder="1" applyFont="1">
      <alignment horizontal="center" shrinkToFit="0" vertical="center" wrapText="1"/>
    </xf>
    <xf borderId="13" fillId="3" fontId="4" numFmtId="0" xfId="0" applyAlignment="1" applyBorder="1" applyFont="1">
      <alignment horizontal="center" shrinkToFit="0" vertical="center" wrapText="1"/>
    </xf>
    <xf borderId="14" fillId="3" fontId="4" numFmtId="0" xfId="0" applyAlignment="1" applyBorder="1" applyFont="1">
      <alignment horizontal="center" shrinkToFit="0" vertical="center" wrapText="1"/>
    </xf>
    <xf borderId="15" fillId="3" fontId="4" numFmtId="0" xfId="0" applyAlignment="1" applyBorder="1" applyFont="1">
      <alignment horizontal="center" shrinkToFit="0" vertical="center" wrapText="1"/>
    </xf>
    <xf borderId="16" fillId="3" fontId="4" numFmtId="0" xfId="0" applyAlignment="1" applyBorder="1" applyFont="1">
      <alignment horizontal="center" shrinkToFit="0" vertical="center" wrapText="1"/>
    </xf>
    <xf borderId="17" fillId="3" fontId="4" numFmtId="0" xfId="0" applyAlignment="1" applyBorder="1" applyFont="1">
      <alignment horizontal="center" shrinkToFit="0" vertical="center" wrapText="1"/>
    </xf>
    <xf borderId="9" fillId="0" fontId="9" numFmtId="0" xfId="0" applyAlignment="1" applyBorder="1" applyFont="1">
      <alignment horizontal="center" shrinkToFit="0" vertical="center" wrapText="1"/>
    </xf>
    <xf borderId="5" fillId="0" fontId="10" numFmtId="0" xfId="0" applyAlignment="1" applyBorder="1" applyFont="1">
      <alignment horizontal="center" shrinkToFit="0" vertical="center" wrapText="1"/>
    </xf>
    <xf borderId="5" fillId="3" fontId="4" numFmtId="0" xfId="0" applyAlignment="1" applyBorder="1" applyFont="1">
      <alignment horizontal="center" shrinkToFit="0" vertical="center" wrapText="1"/>
    </xf>
    <xf borderId="18" fillId="0" fontId="2" numFmtId="0" xfId="0" applyAlignment="1" applyBorder="1" applyFont="1">
      <alignment shrinkToFit="0" vertical="center" wrapText="1"/>
    </xf>
    <xf borderId="19" fillId="0" fontId="2" numFmtId="0" xfId="0" applyAlignment="1" applyBorder="1" applyFont="1">
      <alignment shrinkToFit="0" vertical="center" wrapText="1"/>
    </xf>
    <xf borderId="19" fillId="0" fontId="3" numFmtId="0" xfId="0" applyAlignment="1" applyBorder="1" applyFont="1">
      <alignment shrinkToFit="0" vertical="center" wrapText="1"/>
    </xf>
    <xf borderId="20" fillId="3" fontId="4" numFmtId="0" xfId="0" applyAlignment="1" applyBorder="1" applyFont="1">
      <alignment horizontal="center" shrinkToFit="0" vertical="center" wrapText="1"/>
    </xf>
    <xf borderId="19" fillId="0" fontId="4" numFmtId="0" xfId="0" applyAlignment="1" applyBorder="1" applyFont="1">
      <alignment horizontal="center" shrinkToFit="0" vertical="center" wrapText="1"/>
    </xf>
    <xf borderId="19" fillId="0" fontId="5"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19" fillId="0" fontId="6" numFmtId="164" xfId="0" applyAlignment="1" applyBorder="1" applyFont="1" applyNumberFormat="1">
      <alignment horizontal="center" shrinkToFit="0" vertical="center" wrapText="1"/>
    </xf>
    <xf borderId="21" fillId="0" fontId="11" numFmtId="0" xfId="0" applyAlignment="1" applyBorder="1" applyFont="1">
      <alignment shrinkToFit="0" vertical="center" wrapText="1"/>
    </xf>
  </cellXfs>
  <cellStyles count="1">
    <cellStyle xfId="0" name="Normal" builtinId="0"/>
  </cellStyles>
  <dxfs count="14">
    <dxf>
      <font/>
      <fill>
        <patternFill patternType="solid">
          <fgColor rgb="FFCFDFFF"/>
          <bgColor rgb="FFCFDFFF"/>
        </patternFill>
      </fill>
      <border/>
    </dxf>
    <dxf>
      <font/>
      <fill>
        <patternFill patternType="solid">
          <fgColor rgb="FFD0F0FD"/>
          <bgColor rgb="FFD0F0FD"/>
        </patternFill>
      </fill>
      <border/>
    </dxf>
    <dxf>
      <font/>
      <fill>
        <patternFill patternType="solid">
          <fgColor rgb="FFC2F5E9"/>
          <bgColor rgb="FFC2F5E9"/>
        </patternFill>
      </fill>
      <border/>
    </dxf>
    <dxf>
      <font/>
      <fill>
        <patternFill patternType="solid">
          <fgColor rgb="FFD1F7C4"/>
          <bgColor rgb="FFD1F7C4"/>
        </patternFill>
      </fill>
      <border/>
    </dxf>
    <dxf>
      <font/>
      <fill>
        <patternFill patternType="solid">
          <fgColor rgb="FFFFEAB6"/>
          <bgColor rgb="FFFFEAB6"/>
        </patternFill>
      </fill>
      <border/>
    </dxf>
    <dxf>
      <font/>
      <fill>
        <patternFill patternType="solid">
          <fgColor rgb="FFFEE2D5"/>
          <bgColor rgb="FFFEE2D5"/>
        </patternFill>
      </fill>
      <border/>
    </dxf>
    <dxf>
      <font/>
      <fill>
        <patternFill patternType="solid">
          <fgColor rgb="FFFFDCE5"/>
          <bgColor rgb="FFFFDCE5"/>
        </patternFill>
      </fill>
      <border/>
    </dxf>
    <dxf>
      <font/>
      <fill>
        <patternFill patternType="solid">
          <fgColor rgb="FFEDE2FE"/>
          <bgColor rgb="FFEDE2FE"/>
        </patternFill>
      </fill>
      <border/>
    </dxf>
    <dxf>
      <font/>
      <fill>
        <patternFill patternType="solid">
          <fgColor rgb="FFEEEEEE"/>
          <bgColor rgb="FFEEEEEE"/>
        </patternFill>
      </fill>
      <border/>
    </dxf>
    <dxf>
      <font/>
      <fill>
        <patternFill patternType="solid">
          <fgColor theme="0"/>
          <bgColor theme="0"/>
        </patternFill>
      </fill>
      <border/>
    </dxf>
    <dxf>
      <font/>
      <fill>
        <patternFill patternType="none"/>
      </fill>
      <border/>
    </dxf>
    <dxf>
      <font/>
      <fill>
        <patternFill patternType="solid">
          <fgColor rgb="FFFED1D6"/>
          <bgColor rgb="FFFED1D6"/>
        </patternFill>
      </fill>
      <border/>
    </dxf>
    <dxf>
      <font/>
      <fill>
        <patternFill patternType="solid">
          <fgColor rgb="FFFFFFFF"/>
          <bgColor rgb="FFFFFFFF"/>
        </patternFill>
      </fill>
      <border/>
    </dxf>
    <dxf>
      <font/>
      <fill>
        <patternFill patternType="solid">
          <fgColor rgb="FFF6F8F9"/>
          <bgColor rgb="FFF6F8F9"/>
        </patternFill>
      </fill>
      <border/>
    </dxf>
  </dxfs>
  <tableStyles count="1">
    <tableStyle count="3" pivot="0" name="Content_Overview_Excel-style">
      <tableStyleElement dxfId="11" type="headerRow"/>
      <tableStyleElement dxfId="12" type="firstRowStripe"/>
      <tableStyleElement dxfId="1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L1761" displayName="Content_Overview_Excel" name="Content_Overview_Excel" id="1">
  <autoFilter ref="$A$1:$L$1761">
    <filterColumn colId="0">
      <filters>
        <filter val="Design Thinking: Die Formel für Kreativität"/>
        <filter val="Rosige Aussichten: Dein Unternehmen im globalen Wettbewerb"/>
        <filter val="Office 365: Word Advanced II"/>
        <filter val="Conversion Rate Optimierung (Beginner)"/>
        <filter val="World Economic Forum: Das macht gute Führung aus"/>
        <filter val="Mitarbeiterführung I: Die 3 Bausteine für erfolgreiche Führung"/>
        <filter val="Wirksam Lob aussprechen"/>
        <filter val="Daten und Analytik einfach erklärt"/>
        <filter val="Erfolgreich verhandeln V: Strategien des FBI"/>
        <filter val="Vertrauen kultivieren und Mitarbeiter begeistern"/>
        <filter val="Blockchain für Einsteiger"/>
        <filter val="Die Inversionstaktik"/>
        <filter val="Teams führen durch Situational Leadership"/>
        <filter val="Balanced Scorecard"/>
        <filter val="Löse mit diesen 5 Schritten jedes Problem am Arbeitsplatz "/>
        <filter val="Nachhaltige Geschäftsmodelle VI: Unternehmen in einer nachhaltigen Zukunft"/>
        <filter val="Wie man sich in einer schnellen Welt neu erfindet"/>
        <filter val="Wie wir Zusammenarbeit im Beruf optimieren können"/>
        <filter val="The J-Curve Effect"/>
        <filter val="9 Tipps für eine erfolgreiche Lernkultur"/>
        <filter val="Selbstsabotage im Team: Ursachen und Lösungen"/>
        <filter val="[OFFLINE] Die Zukunft beginnt heute: Potenziale von Deep Tech"/>
        <filter val="Fünf Grundlagen für erfolgreiches SEO"/>
        <filter val="Zuversicht IV: Das &quot;Warum&quot; des Lebens"/>
        <filter val="Der Weg zum aktiven Lernen"/>
        <filter val="Verstehen, verhandeln, versöhnen: Emotionale Konflikte meistern"/>
        <filter val="Wie du neue Arbeitsweisen nachhaltig einführst"/>
        <filter val="Teams führen IV: Gelerntes umsetzen"/>
        <filter val="Marketing mit Analytics aufs nächste Level heben"/>
        <filter val="Cognitive Biases: Action Bias"/>
        <filter val="Smarte Arbeit statt harter Arbeit"/>
        <filter val="Wie man im Beruf Unterstützung gewinnt und Menschen beeinflusst"/>
        <filter val="Mitarbeiterführung V: Wunderwaffe Identitätsmanagement"/>
        <filter val="Daten sind die beste Medizin: Gesundheitswesen im Wandel"/>
        <filter val="Mit Gefühl: Emotionen am Arbeitsplatz zulassen"/>
        <filter val="11 Techniken, um Stress abzubauen"/>
        <filter val="Positiv beeinflussen: Die Macht der Manipulation"/>
        <filter val="Verhalten ändern: Jenseits von Druck und Belohnung"/>
        <filter val="DSGVO am Arbeitsplatz"/>
        <filter val="Der erste Eindruck zählt: Die perfekte Bewerbererfahrung"/>
        <filter val="Onlinehandel"/>
        <filter val="Cognitive Biases: Planning Fallacy"/>
        <filter val="&quot;Kann ich Ihnen helfen?&quot; Dein Kundenservice 1x1"/>
        <filter val="12 Schritte zur erfolgreichen Employer-Branding-Strategie"/>
        <filter val="Hybrides Führen II: Verbinden und stärken"/>
        <filter val="Bessere Entscheidungen Dank AI"/>
        <filter val="Der False Consensus Effect"/>
        <filter val="Office 365: Teams Expert"/>
        <filter val="Vordenker haben überraschende Gewohnheiten"/>
        <filter val="Nachhaltigkeit im Unternehmen I: Die Notwendigkeit zu Handeln"/>
        <filter val="Der In-Group-Bias"/>
        <filter val="Mit simplen Schritten zur finanziellen Sicherheit"/>
        <filter val="Diversität im Einstellungsprozess"/>
        <filter val="Nachhaltigkeit im Unternehmen III: Stakeholder-Management"/>
        <filter val="Erfolgsfaktor Kreativität: Strategien und Methoden"/>
        <filter val="Das Potenzial emotional intelligenter Teams"/>
        <filter val="Neu im Homeoffice"/>
        <filter val="Komplexität managen - Bürokratie reduzieren"/>
        <filter val="Interkulturelle Kompetenz IV: Interkulturelle Kompetenz"/>
        <filter val="Schwierige Gespräche führen"/>
        <filter val="Einen gesunden Arbeitsplatz schaffen"/>
        <filter val="Den Kunden für Dich gewinnen: Die DELTA-Methode"/>
        <filter val="Kritisch denken, intelligent entscheiden: Fünf praktische Tipps"/>
        <filter val="Verstehen und Begeistern: HR im 21. Jahrhundert"/>
        <filter val="Vom Fragen zum Verkaufen"/>
        <filter val="Google Search Console"/>
        <filter val="Auf Feedback reagieren: Das SARA-Modell"/>
        <filter val="Business Writing: 3 Tipps für überzeugende Inhalte"/>
        <filter val="Inklusives Design hilft uns allen"/>
        <filter val="So förderst du Innovation im Team"/>
        <filter val="Nachhaltigkeit II: Ökosysteme und Umweltschutz"/>
        <filter val="Die Vergleichsfalle"/>
        <filter val="Ziele setzen, Erfolge ernten: Die Kunst des Managements"/>
        <filter val="Echter Werben mit Native Advertising"/>
        <filter val="Halt, stopp! Jetzt werbe ich richtig"/>
        <filter val="In drei Sekunden besser Coachen"/>
        <filter val="[KI Grundkurs] Das Alignment Problem"/>
        <filter val="Der Karriere-Tipp den Sie wahrscheinlich nie bekamen"/>
        <filter val="Erst schreiben, dann verkaufen: Das 1×1 des Copywritings"/>
        <filter val="Circular Economy: Das unendliche Potenzial"/>
        <filter val="Biohacking für's Gehirn: Schneller &amp; besser Lernen"/>
        <filter val="[KI Grundkurs] KI: Gesellschaft, Ethik &amp; Technologie"/>
        <filter val="Das 1x1 der Google-Suche"/>
        <filter val="Design Verstehen V - Design und Industrie"/>
        <filter val="Mit Big Data zum Unternehmenserfolg"/>
        <filter val="Wie Workshop-Moderation dein Arbeitsleben verändert"/>
        <filter val="Gute Kommunikation in Konversationen und Konflikten"/>
        <filter val="Full-Body Express: Dein 10 Minuten Ganzkörperworkout"/>
        <filter val="Bits &amp; Pretzels '19"/>
        <filter val="Grund zum Optimismus beim Klimawandel"/>
        <filter val="Bits &amp; Pretzels '18"/>
        <filter val="Energiewirtschaft im Wandel"/>
        <filter val="Unüberwachtes Lernen als Potenzial"/>
        <filter val="Abschluss des Digital-Grundkurses"/>
        <filter val="Mark Zuckerberg &amp; die Zukunft des Internets"/>
        <filter val="Stressfrei zum Erfolg - Belastbarkeit und Zufriedenheit im Beruf"/>
        <filter val="Inclusive Leadership I: Es ist Zeit für mehr Diversität"/>
        <filter val="Sales Impulse"/>
        <filter val="Produktivität durch Wohlbefinden: Techniken zum Erfolg"/>
        <filter val="Präsentieren"/>
        <filter val="Irrtümer der Digitalisierung"/>
        <filter val="Agiles Projektmanagement I: Was ist Agilität?"/>
        <filter val="Was macht gute Führung aus?"/>
        <filter val="Mit KI Prozesse automatisieren"/>
        <filter val="Von Viator, Booking.com &amp; Co: Der Kampf um den Tourismus"/>
        <filter val="Inclusive Leadership II: Stark durch Inklusion"/>
        <filter val="Klar denken und entscheiden"/>
        <filter val="Die 5 Grundsteine einer großartigen Employee Value Proposition"/>
        <filter val="Design Verstehen VII - Innovation durch Design"/>
        <filter val="KI und natürliche Sprachverarbeitung"/>
        <filter val="Gewohnheitssache: Gesunde Verhaltensweisen im Alltag"/>
        <filter val="Theory of Constrains"/>
        <filter val="Was Unternehmen vom Online-Dating lernen können"/>
        <filter val="Wie du deine Marketing-KI maximieren kannst"/>
        <filter val="Die Illusion der Transparenz"/>
        <filter val="Konfliktlösung leicht gemacht: 31 hilfreiche Tipps"/>
        <filter val="Erfolgreich verhandeln III: Verhandlungsstrategien"/>
        <filter val="Talente entfalten - Die Schlüsselrolle des Managers"/>
        <filter val="Mit elastischem Denken Veränderungen meistern"/>
        <filter val="Rise of AI '19"/>
        <filter val="Lernen &amp; Erklären: Die Feynman-Methode"/>
        <filter val="Google Workspace: Meet"/>
        <filter val="Erfolgreich verhandeln IV: Sieben Techniken"/>
        <filter val="Suchintention verstehen, User glücklich machen"/>
        <filter val="Design Thinking leicht gemacht"/>
        <filter val="Neuigkeiten in KI &amp; Tech August II"/>
        <filter val="Eignungsdiagnostik für erfolgreiche Personalauswahl"/>
        <filter val="Gesunder Rücken, gesunder Nacken: So löst du Verspannungen"/>
        <filter val="Female Leadership II: Karriere und Netzwerke"/>
        <filter val="Pluralistic Ignorance"/>
        <filter val="Rhetorik &amp; Kommunikation: Die Dreier-Regel"/>
        <filter val="Die 10 wichtigsten Tech-Erfindungen des letzen Jahrzehnts"/>
        <filter val="Zuversicht III: Zukunftshoffnung stärken"/>
        <filter val="Achtsamkeit bei der Arbeit für bessere Leistung"/>
        <filter val="Das kreative Gehirn"/>
        <filter val="Die Verfügbarkeitsheuristik"/>
        <filter val="Faktencheck im Netz: Diese Tricks musst du kennen"/>
        <filter val="Zoom-Meetings meistern: Technische Tipps &amp; Tricks"/>
        <filter val="Diversity &amp; Inclusion II: Die Kraft kultureller Vielfalt"/>
        <filter val="Oberen Rücken dehnen: 3 Übungen gegen Verspannungen"/>
        <filter val="Neuigkeiten in KI &amp; Tech Juli II"/>
        <filter val="Bessere Entscheidungen treffen"/>
        <filter val="Die Pomodoro-Technik"/>
        <filter val="Neuigkeiten in KI &amp; Tech August IV"/>
        <filter val="So klappt es mit der kollaborativen Führung"/>
        <filter val="Die Gewohnheit, die deine Karriere verbessern könnte"/>
        <filter val="Erste Schritte mit Zoom II: Meetings planen &amp; umsetzen"/>
        <filter val="Adobe Illustrator: Der Ultimative Guide II"/>
        <filter val="Schaffe neue Möglichkeiten"/>
        <filter val="Die Trident-Methode"/>
        <filter val="Erfolgreich verhandeln VI: Gekonnt scheitern"/>
        <filter val="Menschlichkeit als Führungstrategie"/>
        <filter val="Wie du Diversität &amp; Inklusion am Arbeitsplatz förderst"/>
        <filter val="Diversity &amp; Inclusion IV: Frauen in Führung und Vorstand"/>
        <filter val="Grundlagen der Compliance"/>
        <filter val="Fit &amp; flexibel: Stretching-Übungen für jeden Tag"/>
        <filter val="Erfolgreiche Präsentationen gestalten: Was du von TED Talks lernen kannst"/>
        <filter val="Lernen &amp; Erklären: Der Verschachtelungs-Effekt"/>
        <filter val="Die 2-Pizza-Regel"/>
        <filter val="Zuversicht II: Wie man die innere Freiheit stärkt"/>
        <filter val="Ehrliche Gespräche führen"/>
        <filter val="Adobe Photoshop: Der ultimative Guide II"/>
        <filter val="[KI Grundkurs] KI in deinem Arbeitsalltag"/>
        <filter val="Technologie, Transparenz, Vertrauen: Banken im Wandel"/>
        <filter val="Funnel Analyse"/>
        <filter val="Dein Rücken sagt Danke: So arbeitest du gesund"/>
        <filter val="Erste Schritte mit Zoom I: Meetings beitreten &amp; Präsentieren"/>
        <filter val="Female Leadership IV: Gemeinsam führen"/>
        <filter val="Nachhaltige Geschäftsmodelle IV: Soziale Innovation"/>
        <filter val="KI-Projekte für Unternehmen: Tools und Ethik"/>
        <filter val="Der Kreativitätsmuskel"/>
        <filter val="Status Quo Bias"/>
        <filter val="Einführung in moderne KI und maschinelles Lernen"/>
        <filter val="Wer nicht fragt, bleibt ...? Kritisches Denken in der Praxis"/>
        <filter val="Führung durch Vision: The Power of Why"/>
        <filter val="So gelingen dir Performance Reviews"/>
        <filter val="Körper &amp; Psyche: Warum Emotionen unsere Gesundheit beeinflussen"/>
        <filter val="Elevator Pitch: In Sekundenschnelle überzeugen"/>
        <filter val="Marketing Grundlagen: Email &amp; Content Marketing"/>
        <filter val="Mit Wohlbefinden zu effizienterer Arbeit"/>
        <filter val="Food Fraud: Lebensmittelbetrug auf der Spur"/>
        <filter val="Warum zu viele Regeln Produktivität blockieren"/>
        <filter val="Agile Teamarbeit II: Scrum"/>
        <filter val="Wie Führungskräfte mutig für Inklusion eintreten können"/>
        <filter val="Warum KI unglaublich klug und erschreckend dumm ist"/>
        <filter val="2 Fragen, um deine Leidenschaft zu entdecken und zum Beruf zu machen"/>
        <filter val="Zuhören und Lernen: Social Media strategisch nutzen"/>
        <filter val="Agile Teamarbeit III: Lean Start-up"/>
        <filter val="Office 365: Excel Advanced II"/>
        <filter val="KI Deep Dive: Warum so viele KI Projekte scheitern"/>
        <filter val="KI Deep Dive: Das Geheimnis selbstfahrender Autos"/>
        <filter val="Einführung in Data Science I: Data Science ist sexy!"/>
        <filter val="Engagement in Online-Demos fördern"/>
        <filter val="Auf den Punkt: Das deutsche Steuersystem"/>
        <filter val="User Experience Design: Eine Einführung"/>
        <filter val="KI und Empfehlungsdienste"/>
        <filter val="Datenschutz im Unternehmen"/>
        <filter val="Gut entscheiden I: Risiko abwägen, Unsicherheiten erkennen"/>
        <filter val="Verrückte neue Arbeitswelt"/>
        <filter val="Verhandeln wie ein FBI-Agent"/>
        <filter val="Wie man mit transgender Menschen spricht – und ihnen zuhört"/>
        <filter val="SEO - Search Engine Optimization"/>
        <filter val="Recht im Online Marketing"/>
        <filter val="Einführung in Data Science II: Top Skills für Data Scientists"/>
        <filter val="Kognitive Belastung"/>
        <filter val="UNFCK Sales: Motivation"/>
        <filter val="Entfalte deine Produktivität"/>
        <filter val="Hackathons für Einsteiger"/>
        <filter val="Die Wissenschaft des Erfolgs"/>
        <filter val="Zeit ist nicht alles: Das Potenzial des Energiemanagements"/>
        <filter val="Designe dein Training"/>
        <filter val="Design Verstehen II - User und Kontext"/>
        <filter val="Vertrauen - Wie wir es gewinnen und behalten"/>
        <filter val="OffPage SEO: 11 maßgebliche Backlink-Faktoren"/>
        <filter val="Mache Zurückweisung zu deinem Freund"/>
        <filter val="Intrapreneurship: Der Schlüssel zu mehr Innovation"/>
        <filter val="Das Einmaleins des Content Marketing"/>
        <filter val="Creative Problem Solving"/>
        <filter val="Arbeitsschutz: Ergonomischer Arbeitsplatz"/>
        <filter val="Psychologie der Verhandlung II: 3 Grundmodelle"/>
        <filter val="Erfolgreich führen durch unsichere Zeiten"/>
        <filter val="So schützt Du Dich vor Betrug im Netz"/>
        <filter val="Hard Tech von IBM: Die Computing Revolution"/>
        <filter val="Mit Content Marketing im Gespräch bleiben"/>
        <filter val="Fluency Illusion"/>
        <filter val="Innovation und Wandel: Was Führungskräfte wissen müssen"/>
        <filter val="Mit Storytelling auf Anhieb überzeugen"/>
        <filter val="Innovationsmotor Kreativität: Strategien für den Weg zum Erfolg"/>
        <filter val="Interkulturelle Kompetenz I: Kultur verstehen"/>
        <filter val="Agile Teamarbeit V: Führung"/>
        <filter val="Diversität als Erfolgsstrategie"/>
        <filter val="Data Science im Detail IV: Statistik"/>
        <filter val="Mit Impact verkaufen: Einflussreiche Angebote schreiben"/>
        <filter val="Data Products: Daten optimal nutzen"/>
        <filter val="Big Data im Handel"/>
        <filter val="How to Shoot Your Own Content"/>
        <filter val="Mitarbeiterführung II: Persönlichkeit und Werte"/>
        <filter val="5 Marketing-Tipps für schwierige Zeiten"/>
        <filter val="Die 4 größten Engagementkiller"/>
        <filter val="Office 365: SharePoint Basics"/>
        <filter val="Die Affektheuristik"/>
        <filter val="Adobe Photoshop: Der ultimative Guide III"/>
        <filter val="Summit LA 19"/>
        <filter val="Facebook Advertising"/>
        <filter val="5 Tipps, die alle Unternehmen und Arbeitssuchende kennen sollten"/>
        <filter val="Einführung in Miro: Ein Whiteboard für alle Fälle"/>
        <filter val="Arbeitsweisen ändern: Worauf kannst du verzichten?"/>
        <filter val="Radikale Innovation: Scheitern und Erfolg"/>
        <filter val="Plattformen und Netzwerkeffekte"/>
        <filter val="Emotionale Intelligenz: Beziehungsmanagement"/>
        <filter val="Wie man Mitarbeitenden mit Behinderung zum Erfolg verhilft"/>
        <filter val="Nachhaltige Geschäftsmodelle I: Die Schwierigkeiten der Nachhaltigkeit"/>
        <filter val="[OFFLINE] Helfen macht glücklich – aber es kommt darauf an, wie wir helfen"/>
        <filter val="Das Parkinsonsche Gesetz"/>
        <filter val="Emotionale Intelligenz für Führungskräfte"/>
        <filter val="Klar Denken und Entscheiden: Funktionale Fixierung"/>
        <filter val="Wie erfolgreiche Führungskräfte mit Unsicherheit umgehen"/>
        <filter val="3 Tipps: Das kannst du selbst gegen Burnout tun"/>
        <filter val="Führung durch Mitarbeiter: Von hierarchisch zu agil"/>
        <filter val="Warum gute Führungskräfte Humor ernst nehmen"/>
        <filter val="Cognitive Biases: Sunk Cost Fallacy"/>
        <filter val="Inklusivität und Diversität im Unternehmen"/>
        <filter val="Arbeitsschutz: Infektionskrankheiten verhindern"/>
        <filter val="Babble Hypothesis"/>
        <filter val="Was Innovation (außer guten Ideen) wirklich braucht"/>
        <filter val="Erfolgreich verhandeln I: Grundzüge"/>
        <filter val="UNFCK Sales: Kaltakquise"/>
        <filter val="Google-Suche für Einsteiger"/>
        <filter val="Adobe Illustrator: Der ultimative Guide I"/>
        <filter val="Interkulturelle Kompetenz III: Heterogene Arbeitsstile in Teams"/>
        <filter val="Geld ist nicht alles: Mit Beschäftigten-Benefits richtig punkten"/>
        <filter val="Mut zur Veränderung: Innovatives Handeln und Risiken"/>
        <filter val="[OFFLINE]  Elon Musk, wie sieht unsere Zukunft aus?"/>
        <filter val="Digitale Unternehmenskultur (Trivago)"/>
        <filter val="Cognitive Biases: Anchoring"/>
        <filter val="360-Grad-Videos"/>
        <filter val="[KI Grundkurs] Large Language Model Training"/>
        <filter val="Volle Aufmerksamkeit: True Fruits' Markenstrategie (Case Study)"/>
        <filter val="SEO-Strategie leicht gemacht"/>
        <filter val="Nachhaltige Geschäftsmodelle V: Strategien und Organisation für mehr Nachhaltigkeit"/>
        <filter val="Wie KI Bildung retten (und nicht zerstören) könnte"/>
        <filter val="[KI Grundkurs] ChatGPT als digitaler Assistent"/>
        <filter val="Merkmal + Vorteil = Die ideale Formel für starkes Marketing"/>
        <filter val="Wie KI Geschäftsprozesse verändert"/>
        <filter val="Kommuniziere Kompetenz: Körpersprache zählt!"/>
        <filter val="Verantwortung und Motivation in neuen Teams"/>
        <filter val="Brand Ambassador Marketing"/>
        <filter val="Stressmanagement"/>
        <filter val="Einführung in die Digitalisierung"/>
        <filter val="Wie Führungskräfte Handlungen motivieren"/>
        <filter val="Explain it powered by You Know"/>
        <filter val="DMEXCO '19"/>
        <filter val="DMEXCO '18"/>
        <filter val="Drei Regeln für eine bessere Work-Life-Balance"/>
        <filter val="Agiles Projektmanagement V: Agile Leadership"/>
        <filter val="Vertriebler:innen finden und entwickeln"/>
        <filter val="Wie man in Krisen führt"/>
        <filter val="Licht, Kamera, Action: Online souverän auftreten"/>
        <filter val="Feedback das wirkt"/>
        <filter val="Die &quot;Getting Things Done&quot;-Methode"/>
        <filter val="Vision - Ziele - Handlung: Objectives and Key Results"/>
        <filter val="Dein Karriereboost: Taktisch zur neuen Jobposition"/>
        <filter val="Von Zahlen zu Aha-Momenten: Daten sinnvoll nutzen"/>
        <filter val="Wie du Scheitern zulassen kannst"/>
        <filter val="Adobe InDesign: Der ultimative Guide I"/>
        <filter val="Warum du 80% deiner Fortbildungen vergisst"/>
        <filter val="Schluss mit schlechten Meetings"/>
        <filter val="Hochsensibilität"/>
        <filter val="Menschlichkeit – Das Geheimnis erfolgreicher CEOs"/>
        <filter val="Ein guter Start: Mitarbeitende onboarden und binden"/>
        <filter val="Produktentwicklung mit Leichtigkeit: Das Minimum Viable Product"/>
        <filter val="Lern' vom Hacker: Grundlagen der IT-Sicherheit"/>
        <filter val="Wie du dein Selbstvertrauen weckst – und andere damit ansteckst!"/>
        <filter val="Recruiting: Warum du eher Zeit als Geld investieren solltest"/>
        <filter val="Keyword-Recherche: So findest du die richtigen Keywords!"/>
        <filter val="Empathie als Führungsqualität"/>
        <filter val="Scrum Academy: Agile Grundlagen"/>
        <filter val="Wie Kreativität funktioniert"/>
        <filter val="9 Grundpfeiler einer zukunftsstarken Personalstrategie"/>
        <filter val="Irreführende Diagramme"/>
        <filter val="Das lernende Unternehmen"/>
        <filter val="Kommunikation in kritischen Situationen"/>
        <filter val="So erkennst du irreführende Statistiken"/>
        <filter val="Die Zeit der Rangordnungen ist gezählt"/>
        <filter val="Gute Daten, schlechte Daten: So entstehen KI-Biases"/>
        <filter val="Konflikte vermeiden mit der LIMO Methode"/>
        <filter val="Gemeinsam besser werden: Die Working Out Loud Methode"/>
        <filter val="Förderung für den Erfolg: Mitarbeitende gezielt schulen"/>
        <filter val="Das Pareto Prinzip"/>
        <filter val="Der Pygmalion Effekt"/>
        <filter val="Entscheidungsfindung im Team: Das Konsensprinzip"/>
        <filter val="[KI Grundkurs] Bias in KI"/>
        <filter val="UNFCK SALES I: Das High Performer 1x1"/>
        <filter val="Personal, Netzwerk, Vertrieb: XING für Unternehmen"/>
        <filter val="Cyber Security im Alltag"/>
        <filter val="Veränderungen meistern - Effektives Change Management"/>
        <filter val="Die sokratische Methode: Zielgerichtet kritisch nachgedacht"/>
        <filter val="Backlinks aufbauen: Sieben Linkbuilding-Taktiken"/>
        <filter val="Teamführung in Zeiten des Wandels: Neue Perspektiven etablieren"/>
        <filter val="Mit Fehlern umgehen"/>
        <filter val="Pirate Summit"/>
        <filter val="Agiles Projektmanagement III: Scrum"/>
        <filter val="Glaubwürdiger sein durch Bewertungen"/>
        <filter val="Was wir aus Wissenschaft und Kunst lernen können"/>
        <filter val="OnPage SEO-Checkliste: 13 glasklare Schritte"/>
        <filter val="Evolutionary Leadership: Vertrauenssache"/>
        <filter val="Marketing Grundlagen: SMART planen"/>
        <filter val="5 Minuten gegen Rückenschmerzen im Büro"/>
        <filter val="Teams führen III: Kreiere eine Gruppenidentität"/>
        <filter val="5 Fragen, 1 Ziel: Strategisches Denken"/>
        <filter val="Lernstile"/>
        <filter val="Neue Technologien"/>
        <filter val="Effektiv kommunizieren in virtuellen Teams"/>
        <filter val="Digitales Marketing"/>
        <filter val="Kommunikation im digitalen Zeitalter"/>
        <filter val="Wie KI jedes Unternehmen stärken könnte"/>
        <filter val="Innovation als Unternehmenskultur"/>
        <filter val="Authentische Führung - der Schlüssel zum Erfolg"/>
        <filter val="Kundenzentrierung"/>
        <filter val="Levels of Processing"/>
        <filter val="Rhetorik &amp; Kommunikation: Die Minto-Pyramide"/>
        <filter val="Nachhaltige Geschäftsmodelle III: Zirkuläre und kollaborative Geschäftsmodelle"/>
        <filter val="So vermarktest du dein Unternehmen auf Social Media"/>
        <filter val="[KI Grundkurs] Abschluss &quot;Grundkurs: Künstliche Intelligenz&quot;"/>
        <filter val="Wie Reverse-Mentoring zu besseren Führungskräften führt"/>
        <filter val="Du fühlst dich fehl am Platz? Das hilft dagegen"/>
        <filter val="Boma Germany '19"/>
        <filter val="Office 365: OneNote Expert"/>
        <filter val="Personalführung I: Talentmanagement"/>
        <filter val="Personalführung: Herausforderung Generation Z"/>
        <filter val="Agile Teamarbeit IV: Design Thinking"/>
        <filter val="Mit zwölf Tipps zum Moderationsprofi"/>
        <filter val="Culture of Good: 18 Impulse für deine Unternehmenskultur"/>
        <filter val="Google Workspace: Tabellen"/>
        <filter val="Learning as a Leader"/>
        <filter val="Erfolgreich verhandeln II: Zielsetzung"/>
        <filter val="Mit Webex Online-Meetings meistern: Die Basics"/>
        <filter val="DSGVO: Anwendung und populäre Irrtümer"/>
        <filter val="Was ist ein Solution Architect?"/>
        <filter val="Yoga im Büro: Eine einfache Routine für mehr Gesundheit copy"/>
        <filter val="Psychologie der Verhandlung IV: Den Überblick gewinnen"/>
        <filter val="Wenn nicht jetzt, wann dann? Die Klimakrise aktiv angehen"/>
        <filter val="Eigene Masterplan-Kurse erstellen leicht gemacht"/>
        <filter val="Meetings gestalten, Menschen verbinden"/>
        <filter val="Mitarbeitende nach Scheitern aufrichten"/>
        <filter val="Überleitung - Mindset zu Organisation"/>
        <filter val="Emotionale Intelligenz: Selbstmanagement"/>
        <filter val="So machen Zoom-Meetings Spaß"/>
        <filter val="Neuigkeiten in KI &amp; Tech"/>
        <filter val="Überlegst du noch oder schreibst du schon?"/>
        <filter val="Diversity &amp; Inclusion I: Die Bedeutung des Diversity Managements"/>
        <filter val="14 Kernkompetenzen erfolgreicher HR Manager:innen"/>
        <filter val="Neuigkeiten in KI &amp; Tech August III"/>
        <filter val="Double Loop Learning"/>
        <filter val="YouTube Marketing: Eine Einführung"/>
        <filter val="Design Verstehen I - Eine Einführung in Design"/>
        <filter val="Geschäfte erfolgreich abschließen: Stakeholder-Meetings"/>
        <filter val="Selbstbewusst und kompetent: Frauen im Unternehmen"/>
        <filter val="Mit smarter Datennutzung zu besserem Management I"/>
        <filter val="Diversität in Unternehmen gezielt fördern"/>
        <filter val="Das Dream Team vom Dienst: Menschen &amp; KI"/>
        <filter val="Vom Feld ins Regal: Die Lebensmittelkette der Zukunft"/>
        <filter val="Nachhaltigkeit im Unternehmen II: Nachhaltigkeitsmanagement"/>
        <filter val="Lateral Thinking"/>
        <filter val="Interkulturelle Kompetenz II: Kommunikation meistern"/>
        <filter val="Permission Structure"/>
        <filter val="Neuigkeiten in KI &amp; Tech September II"/>
        <filter val="Fit für die Zukunft – Diese Fähigkeiten helfen dir"/>
        <filter val="Wie man für sich selbst einsteht"/>
        <filter val="Handgelenke trainieren: 2 kräftigende Übungen"/>
        <filter val="Gut entscheiden II: Unsicherheiten richtig managen"/>
        <filter val="Neuigkeiten in KI &amp; Tech September IV"/>
        <filter val="Wie du Mitarbeitende effizient weiterentwickelst"/>
        <filter val="Mach deine Marke richtig bekannt"/>
        <filter val="Ohne Kontext ist Technologie unmöglich"/>
        <filter val="Office 365: Teams Basics"/>
        <filter val="Grundlagen der Datenkompetenz"/>
        <filter val="Schwere Gespräche, einfache Lösung: Die C.A.U.S.E-Methode"/>
        <filter val="Trends im Finanzwesen"/>
        <filter val="Cognitive Biases: Halo Effect"/>
        <filter val="Power-Teams: Gemeinsam Spitzenleistungen erreichen"/>
        <filter val="SEO einfach und schnell erklärt"/>
        <filter val="Google Workspace: Drive"/>
        <filter val="Space for Progress: Fortschritt durch Raumfahrt"/>
        <filter val="Kryptowährungen entschlüsselt"/>
        <filter val="Growth Mindset: Stärke durch Offenheit"/>
        <filter val="Problem erkannt, Problem gebannt: Creative Problem Solving"/>
        <filter val="So reden, dass andere einem zuhören wollen"/>
        <filter val="Mit smarter Datennutzung zu besserem Managament II"/>
        <filter val="Shortcut-O-Matic: Mit weniger Stress zu besseren Entscheidungen"/>
        <filter val="Sei gut zu dir selbst"/>
        <filter val="Erfolgreiche Teams bilden und leiten"/>
        <filter val="Hoch hinaus mit diesem Wissen: Leitersicherheit"/>
        <filter val="Mitarbeiterengagement: Messen, auswerten, durchstarten!"/>
        <filter val="Wie Fokusgruppen funktionieren"/>
        <filter val="Die &quot;Better Than Nothing&quot;-Strategie"/>
        <filter val="Neuigkeiten in KI &amp; Tech September III"/>
        <filter val="Die SMART-Methode: So erreichst du deine Ziele"/>
        <filter val="Besser kommunizieren in kleinen Teams"/>
        <filter val="Startups und Konzerne: Partnerschaften für Innovation"/>
        <filter val="CNBC Explains"/>
        <filter val="Google Search Console für Entwickler"/>
        <filter val="Mit smarter Datennutzung zu besserem Management II"/>
        <filter val="Coaching für Höchstleistungen: Mitarbeitererfolge fördern"/>
        <filter val="Strengthen your Emotional Agility"/>
        <filter val="[KI Grundkurs] Risiken und Herausforderungen Künstlicher Intelligenz"/>
        <filter val="Das Auge isst mit: Wie Farbe die Produktwahrnehmung beeinflusst"/>
        <filter val="Baue ein Unternehmen auf, in dem die besten Ideen gewinnen!"/>
        <filter val="How to Produce Your Own Content"/>
        <filter val="Adobe InDesign: Der Ultimative Guide III"/>
        <filter val="Teamwork: 4 Fehler, die Teams nicht machen sollten"/>
        <filter val="Mitarbeiterführung III: Lernen fördern durch starkes Feedback"/>
        <filter val="Innehalten &amp; Verstehen: Mit SLOW wirkungsvoll kommunizieren"/>
        <filter val="Einatmen, Ausatmen - 3 einfache Entspannungsübungen"/>
        <filter val="Wie du Verbündete am Arbeitsplatz schaffst"/>
        <filter val="Conversion Rate Optimierung (Expert)"/>
        <filter val="Das Sympathie-Dilemma von Frauen in der Führungsrolle"/>
        <filter val="Lernen &amp; Erklären: Der Spacing-Effekt"/>
        <filter val="Business Essentials II: Eine positive Unternehmenskultur schaffen"/>
        <filter val="Rückschläge positiv gestalten"/>
        <filter val="Die Entscheidungsmüdigkeit"/>
        <filter val="Von Potential zu Performance: Mitarbeitende fördern &amp; führen"/>
        <filter val="Zuversicht I: Von der Angst zur Gestaltungskraft"/>
        <filter val="4 Tipps für großartige Vorträge"/>
        <filter val="Agile Personalarbeit – In 5 Schritten zum Erfolg"/>
        <filter val="Denk wie eine Programmiererin"/>
        <filter val="Nachhaltigkeit I: Den Klimawandel verstehen"/>
        <filter val="So baust du eine starke Unternehmenskultur auf"/>
        <filter val="[KI Grundkurs] Künstliche Intelligenz: Chancen und Potenziale"/>
        <filter val="Intelligente Teamarbeit"/>
        <filter val="Inclusive Leadership IV: Den Wandel gestalten"/>
        <filter val="Geschäftsmodelle für eine digitale Zeit"/>
        <filter val="Gezielt Bewerbungsgespräche führen"/>
        <filter val="Was Introvertierte anderen voraus haben"/>
        <filter val="New Work Experience"/>
        <filter val="Wie KI Menschheitsprobleme löst"/>
        <filter val="Office 365: Word Basics"/>
        <filter val="Der Morgen macht den Tag – Tipps aus der Neurowissenschaft"/>
        <filter val="Agiles Projektmanagement II: Design Thinking"/>
        <filter val="Wie Unstimmigkeiten Produktivität optimieren"/>
        <filter val="Produktivität: was effiziente Teams ausmacht"/>
        <filter val="Einfach mal nichts tun: Das Default Mode Network"/>
        <filter val="Alles Kopfsache: Konzentration steigern &amp; Fokus finden"/>
        <filter val="Vorsicht vor &quot;Filter-Blasen&quot; im Internet"/>
        <filter val="[KI Grundkurs] Secret Cyborgs"/>
        <filter val="Slack in der Praxis"/>
        <filter val="Kreativität Digital"/>
        <filter val="Media Budget für Anfänger"/>
        <filter val="Nachhaltigkeit IV: Globale Nachhaltigkeitspolitik"/>
        <filter val="Emotionale Intelligenz: Selbstwahrnehmung"/>
        <filter val="Kundenbeziehungen online aufbauen"/>
        <filter val="Der Negativity Bias"/>
        <filter val="Design Verstehen III - Design und Gesellschaft"/>
        <filter val="Gerechtigkeit im Job: Die 3 Prinzipien von Fairness"/>
        <filter val="[OFFLINE] Mit Diversität und Inklusion gemeinsam zum Erfolg"/>
        <filter val="Tipps für den Vertriebsalltag"/>
        <filter val="Souveränes Auftreten durch Körpersprache"/>
        <filter val="Culture Map: So meisterst du das kulturelle Minenfeld"/>
        <filter val="SEO für den Online-Handel"/>
        <filter val="Conversion Rate Optimierung (Advanced)"/>
        <filter val="Gib Hackern &amp; Fake News keine Chance! Staying Safe Digitally"/>
        <filter val="Kreativ werden mit der Walt-Disney-Methode"/>
        <filter val="How to edit your own content"/>
        <filter val="Psychologie der Verhandlung III: Sich selbst und andere verstehen"/>
        <filter val="In 8 Minuten Stress wegatmen &amp; entspannen"/>
        <filter val="[KI Grundkurs] Einführung &quot;Grundkurs: Künstliche Intelligenz&quot;"/>
        <filter val="Was Spaghettisauce mit Glück zu tun hat"/>
        <filter val="Task Paralysis"/>
        <filter val="Office 365: Outlook Expert"/>
        <filter val="Der Ostrich Effekt"/>
        <filter val="User Research: Die Vorteile der Nutzerforschung"/>
        <filter val="Die Zukunft der Digitalen Transformation"/>
        <filter val="Verkaufskompetenz für Nicht-Verkäufer"/>
        <filter val="Für den guten Zweck: Finanzmanagement in NPOs"/>
        <filter val="Gut entscheiden III: Aus Fehlern lernen"/>
        <filter val="Emotionale Intelligenz: Social Awareness"/>
        <filter val="Female Leadership I: Vorteile und Potenziale"/>
        <filter val="Emotionale Intelligenz 2.0"/>
        <filter val="Interne Verlinkung: Gezielt Google Ranking optimieren"/>
        <filter val="Zu Unrecht unterschätzt: Die Arbeit in Gruppen"/>
        <filter val="In Zoom-Meetings optimal aussehen &amp; klingen"/>
        <filter val="Wandel ermöglichen - Krisen überwinden"/>
        <filter val="Office 365: OneNote Advanced"/>
        <filter val="Personalführung II: Strategische Planung"/>
        <filter val="SZ Wirtschaftsgipfel '19"/>
        <filter val="Überall Gemeinsam: Zusammenarbeit digital"/>
        <filter val="Google Workspace: Docs"/>
        <filter val="Salomon's Paradox"/>
        <filter val="Dynamic Pricing einfach erklärt"/>
        <filter val="Hinterland of Things '20"/>
        <filter val="UNFCK Sales: Mentalkonten"/>
        <filter val="Nachhaltigkeit III: Umweltschutz und Gesellschaft"/>
        <filter val="Schluss mit Schockstarre: Gestalte deinen Markt aktiv mit"/>
        <filter val="Arbeitsschutz: Verhalten bei Unfällen"/>
        <filter val="Vertrauen als moderne Währung"/>
        <filter val="Gewaltfreie Kommunikation"/>
        <filter val="Elektrisch, autonom, geteilt: Die Zukunft der Mobilität"/>
        <filter val="Office Eyes: Übungen gegen brennende &amp; trockene Augen"/>
        <filter val="Die LEAF-Methode"/>
        <filter val="Schluss mit Nettigkeiten"/>
        <filter val="Diversität &amp; Inklusion - gute Absichten sind nicht genug"/>
        <filter val="How to Talk to Engineers"/>
        <filter val="Google Workspace: Kalender"/>
        <filter val="Warum gibt es so wenige weibliche Führungskräfte?"/>
        <filter val="Was gutes Feedback so besonders macht"/>
        <filter val="Arbeitsschutz: Richtig handeln im Not- &amp; Brandfall"/>
        <filter val="Effizienz und Kundenfokus: Das Geheimnis der Emma GmbH (Case Study)"/>
        <filter val="Meeting Overload - 5 Tipps, die dir wieder Zeit verschaffen"/>
        <filter val="Teams führen II: Entscheidungen als Team treffen"/>
        <filter val="Mobilität in Bewegung: Der Wandel in der Mobilitätsindustrie"/>
        <filter val="Neue Wirklichkeiten: Eine Einführung in VR und AR"/>
        <filter val="Die 4 Dimensionen erfolgreicher Führung"/>
        <filter val="Der Bandwagon-Effekt"/>
        <filter val="Mit drei Fragen zu mehr Widerstandskraft"/>
        <filter val="WOL Camp"/>
        <filter val="Mitarbeiter-Benefits: Womit du dein Team glücklich machst"/>
        <filter val="Der Acquiescence Bias in Umfragen"/>
        <filter val="Mitarbeiterführung VI: Gute Stimmung für den Erfolg"/>
        <filter val="Agiles Projektmanagement IV: Kanban"/>
        <filter val="Design neu Denken: Grundlagen guter Gestaltung"/>
        <filter val="3 Gründe: Warum Karrierepfade für Unternehmen wichtig sind"/>
        <filter val="Tech-Adoption: Von der Herausforderung zum Erfolg"/>
        <filter val="Exponentielle Technologien"/>
        <filter val="[KI Grundkurs] Machine Learning: Eine Einführung"/>
        <filter val="Datenkompetenz: So startet dein Team durch– und du gleich mit!"/>
        <filter val="Die SPADE-Methode"/>
        <filter val="Neuigkeiten in KI &amp; Tech Juli I"/>
        <filter val="Mit Feedback Verhalten korrigieren"/>
        <filter val="Entfessle deine natürliche Kreativität"/>
        <filter val="Office 365: Excel Basics"/>
        <filter val="Lightning Decision Jam Workshop"/>
        <filter val="KI Deep Dive: Wie KI die Energiebranche revolutionieren kann"/>
        <filter val="Lernen, ein Leben lang"/>
        <filter val="Office 365: Outlook Advanced"/>
        <filter val="Klar und Empathisch: Gespräche überzeugend führen"/>
        <filter val="New Work: Anders Arbeiten mit Blackboat (Case Study)"/>
        <filter val="Wie denken deine Kunden? Tipps für effektives Marketing"/>
        <filter val="Ein Blick über den Tellerrand: Das Geheimnis neuer Ideen"/>
        <filter val="Emotionale Intelligenz leicht gemacht!"/>
        <filter val="Female Leadership III: Erfolg durch Gleichstellung"/>
        <filter val="Zeitmanagement im Alltag"/>
        <filter val="Der Anwalt des Teufels"/>
        <filter val="Google Workspace: Gmail"/>
        <filter val="Dynamisches sitzen: Die &quot;40-15-5&quot;-Regel"/>
        <filter val="Neuigkeiten in KI &amp; Tech August I"/>
        <filter val="Den richtigen Vertriebsansatz finden"/>
        <filter val="Mission Change Management: Die häufigsten Fehler"/>
        <filter val="[OFFLINE] Ein Schritt Richtung Zukunft: Das Potenzial von KI"/>
        <filter val="[OFFLINE] Der Weg zu mehr Gleichberechtigung"/>
        <filter val="Entwickle Verständnis für deine Kunden"/>
        <filter val="Kundenorientierung durch Digital Analytics"/>
        <filter val="Aktive Pause: 4 Übungen für den Arbeitsplatz"/>
        <filter val="Hybrides Führen I: Willkommen im New Normal"/>
        <filter val="Die besten Mitarbeiter finden mit People Analytics"/>
        <filter val="Dual Coding"/>
        <filter val="Gewohnheiten schaffen in nur 1 Minute"/>
        <filter val="Wertschätzung und Nachhaltigkeit: Einhorns Geheimnis (Case Study)"/>
        <filter val="Talking On The Job – Speak Business English with Confidence"/>
        <filter val="Design Verstehen VI - Design und Zusammenarbeit"/>
        <filter val="Wirtschaft, Macht &amp; Politik: Krisenmanagement im Unternehmen"/>
        <filter val="Mit HR zum Erfolg: 14 Best Practices, die den Grundstein legen"/>
        <filter val="Mit der Technologie von morgen Schritt halten"/>
        <filter val="Der Odysseus-Pakt"/>
        <filter val="Das Paradoxon der Wahlmöglichkeiten"/>
        <filter val="Arbeitsschutz: Unfälle vermeiden"/>
        <filter val="Office 365: PowerPoint Advanced II"/>
        <filter val="Das Imposter-Syndrom"/>
        <filter val="Informationssicherheit (ISO 27001)"/>
        <filter val="Schaue beim Einstellen über den Tellerrand hinaus"/>
        <filter val="Ziellos, matt und leer? Komm wieder in den Flow!"/>
        <filter val="Digitale Zwillinge: Lebende Problemlöser"/>
        <filter val="Office 365: Zusammenarbeit"/>
        <filter val="Agil, Kreativ, Innovativ: Methoden für besseres Arbeiten"/>
        <filter val="KI Deep-Dive: Wie ethisch ist KI?"/>
        <filter val="Die Kunst der Führung: das Ungewohnte meistern"/>
        <filter val="Cybersicherheit fängt bei deinen Mitarbeitenden an!"/>
        <filter val="Emissionsfrei in die Zukunft, neue Technologien fördern"/>
        <filter val="UNFCK SALES III: SPIN und die 4 Vertriebsprozesse"/>
        <filter val="Unternehmenskultur &amp; soziale Verantwortung"/>
        <filter val="Im selben Boot: Inklusion für alle"/>
        <filter val="Der Produktivitäts-Mythos"/>
        <filter val="Gefühle zeigen als Stärke sehen"/>
        <filter val="Copilot für Microsoft 365: Die KI für Microsoft Office"/>
        <filter val="Die kreative Toolbox"/>
        <filter val="[KI Grundkurs] Was ist überhaupt eine KI?"/>
        <filter val="Verbessere dein kritisches Denken in Sekundenschnelle!"/>
        <filter val="Wie Langeweile zu den hervorragendsten Ideen führen kann"/>
        <filter val="Mitarbeiterführung VII: Motivatoren und Demotivatoren"/>
        <filter val="Office 365: PowerPoint Basics"/>
        <filter val="Vertriebspsychologie"/>
        <filter val="Rhetorik &amp; Kommunikation: Der Framing-Effekt"/>
        <filter val="Wie deine größten Kritiker dir helfen können"/>
        <filter val="Was eine Führungspersönlichkeit ausmacht"/>
        <filter val="10 Minuten Bewegungspause gegen Verspannungen"/>
        <filter val="Effektiv Arbeit delegieren"/>
        <filter val="Online Meetings vorbereiten &amp; moderieren"/>
        <filter val="Neuigkeiten in KI &amp; Tech August V"/>
        <filter val="Wie Fairness Unternehmen optimiert"/>
        <filter val="3 Wege, deine Anpassungsfähigkeit zu testen"/>
        <filter val="Arbeitsschutz: Heben &amp; Tragen"/>
        <filter val="Crashkurs: Die Grundlagen von Verkaufstechniken"/>
        <filter val="Technologien der Zukunft"/>
        <filter val="Neuigkeiten in KI &amp; Tech September I"/>
        <filter val="Einführung in Data Science III: Mit Data Storytelling zum Erfolg"/>
        <filter val="UNFCK SALES IV: Preise verhandeln, aber richtig!"/>
        <filter val="Kundengespräche online erfolgreich führen"/>
        <filter val="Remote arbeiten und führen"/>
        <filter val="Agile Teamarbeit I: Die Basics"/>
        <filter val="Office 365: SharePoint Advanced"/>
        <filter val="Personalführung III: KPIs &amp; Performance"/>
        <filter val="SEO-Strategien: Keyword-Recherche"/>
        <filter val="Google Workspace: Präsentationen"/>
        <filter val="Die Loci-Methode"/>
        <filter val="Kreativität &amp; Konzentration: ADT im Berufsleben managen"/>
        <filter val="Online-Zahlungssysteme: Schnell, Praktisch, Sicher?"/>
        <filter val="Office 365: Teams Advanced"/>
        <filter val="Psychologie der Verhandlung I: Die Basics"/>
        <filter val="Der EU-AI-Act: Alles, was du wissen musst"/>
        <filter val="Office 365: Excel Advanced I"/>
        <filter val="The Science of Receiving Feedback"/>
        <filter val="Adobe InDesign: Der ultimative Guide II"/>
        <filter val="Das Rätsel der Motivation"/>
        <filter val="[OFFLINE] Dein Projekt, dein Dream-Team: Erfolgreich führen"/>
        <filter val="Scrum Academy: Scrum Grundlagen"/>
        <filter val="5 Schritte gegen Streit am Arbeitsplatz"/>
        <filter val="Transparente Führung"/>
        <filter val="Office 365: OneNote Basics"/>
        <filter val="Growth Mindset und Fehlerkultur"/>
        <filter val="Personalführung IV: Eine positive Arbeitskultur schaffen"/>
        <filter val="Veränderung als Chance"/>
        <filter val="UNFCK SALES II: Eiskalt akquiriert"/>
        <filter val="Die Formen der Macht und wie du sie einsetzt"/>
        <filter val="Lean Product Management: Eine Einführung"/>
        <filter val="Business Essentials I: Erfolgreich Wirtschaften"/>
        <filter val="Mit links: Online Meetings &amp; Workshops erfolgreich moderieren"/>
        <filter val="Weniger schreiben, mehr sagen"/>
        <filter val="Nachhaltigkeit V: Auswirkungen des Klimawandels"/>
        <filter val="So steuern wir kollektive Kreativität"/>
        <filter val="Strategie braucht Kreativität: Strategische Kreativität fördern"/>
        <filter val="Deep Learning und Computer Vision"/>
        <filter val="Fit am Arbeitsplatz: So beugst du Verspannungen vor"/>
        <filter val="OMR '19"/>
        <filter val="Multitasking"/>
        <filter val="Zuhören und Helfen: Feedback als Führungskompetenz"/>
        <filter val="How to become an E-Learner"/>
        <filter val="Kreativität managen und fördern"/>
        <filter val="Klar Denken und Entscheiden: Goodhart's Law"/>
        <filter val="Wie man Freunde gewinnt und Menschen beeinflusst"/>
        <filter val="Der Zeigarnik-Effekt"/>
        <filter val="CRM - Customer Relationship Management"/>
        <filter val="Startklar für die Zukunft: Erfolgreich Umschulen &amp; Weiterbilden"/>
        <filter val="Mitarbeiterführung IV: Das Entwicklungsgespräch als Motivator"/>
        <filter val="Mitarbeiterführung ohne Mikromanagement"/>
        <filter val="Was kann man aus Abkürzungen lernen?"/>
        <filter val="Office 365: Outlook Basics"/>
        <filter val="New Work"/>
        <filter val="Office 365: PowerPoint Advanced I"/>
        <filter val="Adobe InDesign: Der ultimative Guide IV"/>
        <filter val="Warum Respekt gut für das Geschäft ist"/>
        <filter val="Überzeugend reden mit der S.U.C.C.E.S.-Formel"/>
        <filter val="Blockchain für Fortgeschrittene"/>
        <filter val="HR im Wandel: Unternehmenskultur bei Axel Springer (Case Study)"/>
        <filter val="Diversity &amp; Inclusion III: Bewusste Kommunikation im Team"/>
        <filter val="Pitch-Perfekt: Die Kunst, Ideen brillant zu präsentieren"/>
        <filter val="[OFFLINE] Siri, Alexa, Google: Was kommt als Nächstes?"/>
        <filter val="Innovationen intelligent implementieren"/>
        <filter val="[OFFLINE] Warum ein Gespräch mit Fremden glücklich macht"/>
        <filter val="Unconscious Bias"/>
        <filter val="Inclusive Leadership III: Gemeinsam statt einsam"/>
        <filter val="Die Freizeit genießen, ohne an Arbeit zu denken"/>
        <filter val="Konfliktlösung"/>
        <filter val="Der Dunning-Kruger-Effekt"/>
        <filter val="Wege zum Erfolg – Oliver Kahn"/>
        <filter val="Rhetorik"/>
        <filter val="Der Barnum-Effekt"/>
        <filter val="Nachhaltige Geschäftsmodelle II: Was ist ein nachhaltiges Geschäftsmodell?"/>
        <filter val="Das Statistik 1x1"/>
        <filter val="Dein KI-Toolkit"/>
        <filter val="Adobe Photoshop: Der ultimative Guide I"/>
        <filter val="Soziale Plattformen"/>
        <filter val="Ist dein SEO-Wissen aktuell?"/>
        <filter val="FAQ mit CIOs: IT-Vorstände geben Einblicke"/>
        <filter val="5 Experten, 5 Jahre &amp; 1 Ziel: Aufbau einer nachhaltigen Zukunft"/>
        <filter val="Warum ein Sponsor so wichtig sein kann"/>
        <filter val="[OFFLINE] Warum du denkst, keine Zeit zu haben &amp; wie sich das ändern lässt"/>
        <filter val="Design Verstehen IV - Design und Nachhaltigkeit"/>
        <filter val="Sicher und Ehrlich: Ein Überblick über Compliance"/>
        <filter val="Schnelles Entscheiden leicht gemacht"/>
        <filter val="Kundenzentrierung in einer digitalen Welt"/>
        <filter val="Kundenloyalität messen: Der Net Promoter Score"/>
        <filter val="Mit Ehrlichkeit und Empathie besser kommunizieren"/>
        <filter val="Achtsamkeit wissenschaftlich erklärt"/>
        <filter val="Unterschiede überwinden - Konflikte lösen"/>
        <filter val="Psychologische Sicherheit"/>
        <filter val="Aufbau von Motivation und Vertrauen in virtuellen Teams"/>
        <filter val="Office 365: Word Advanced I"/>
        <filter val="12 Website-Architektur Tipps für SEO"/>
        <filter val="Work Awesome '19"/>
        <filter val="Und warum gerade Sie? Der Arbeitgeber als Marke"/>
        <filter val="Work Awesome '18"/>
        <filter val="Null Problemo: Probleme strategisch lösen"/>
        <filter val="KI Deep Dive: Personalisierung"/>
        <filter val="Relationale Intelligenz, Der Boost für Deine Unternehmenskultur"/>
      </filters>
    </filterColumn>
  </autoFilter>
  <tableColumns count="12">
    <tableColumn name="Course Title (DE)" id="1"/>
    <tableColumn name="Course Title (EN)" id="2"/>
    <tableColumn name="Course Description (DE)" id="3"/>
    <tableColumn name="Course Description (EN)" id="4"/>
    <tableColumn name="Power Skill" id="5"/>
    <tableColumn name="Provider" id="6"/>
    <tableColumn name="Course Duration (min)" id="7"/>
    <tableColumn name="Learning Elements" id="8"/>
    <tableColumn name="Lectures available in" id="9"/>
    <tableColumn name="Audio available in" id="10"/>
    <tableColumn name="Release Date" id="11"/>
    <tableColumn name="URL" id="12"/>
  </tableColumns>
  <tableStyleInfo name="Content_Overview_Excel-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masterplan.com/courses/mp-shorts-die-affektheuristik" TargetMode="External"/><Relationship Id="rId194" Type="http://schemas.openxmlformats.org/officeDocument/2006/relationships/hyperlink" Target="https://masterplan.com/courses/adobe-indesign-der-ultimative-guide-ii" TargetMode="External"/><Relationship Id="rId193" Type="http://schemas.openxmlformats.org/officeDocument/2006/relationships/hyperlink" Target="https://masterplan.com/courses/adobe-photoshop-der-ultimative-guide-iii" TargetMode="External"/><Relationship Id="rId192" Type="http://schemas.openxmlformats.org/officeDocument/2006/relationships/hyperlink" Target="https://masterplan.com/courses/mp-shorts-der-bandwagon-effekt" TargetMode="External"/><Relationship Id="rId191" Type="http://schemas.openxmlformats.org/officeDocument/2006/relationships/hyperlink" Target="https://masterplan.com/courses/grundlagen-der-compliance" TargetMode="External"/><Relationship Id="rId187" Type="http://schemas.openxmlformats.org/officeDocument/2006/relationships/hyperlink" Target="https://masterplan.com/courses/adobe-illustrator-der-ultimative-guide-ii" TargetMode="External"/><Relationship Id="rId186" Type="http://schemas.openxmlformats.org/officeDocument/2006/relationships/hyperlink" Target="https://masterplan.com/courses/wer-nicht-fragt-bleibt-kritisches-denken-in-der-praxis" TargetMode="External"/><Relationship Id="rId185" Type="http://schemas.openxmlformats.org/officeDocument/2006/relationships/hyperlink" Target="https://masterplan.com/courses/adobe-indesign-der-ultimative-guide-iv" TargetMode="External"/><Relationship Id="rId184" Type="http://schemas.openxmlformats.org/officeDocument/2006/relationships/hyperlink" Target="https://masterplan.com/courses/mp-shorts-das-imposter-syndrom" TargetMode="External"/><Relationship Id="rId189" Type="http://schemas.openxmlformats.org/officeDocument/2006/relationships/hyperlink" Target="https://masterplan.com/courses/mp-shorts-der-barnum-effekt" TargetMode="External"/><Relationship Id="rId188" Type="http://schemas.openxmlformats.org/officeDocument/2006/relationships/hyperlink" Target="https://masterplan.com/courses/adobe-indesign-der-ultimative-guide-iii" TargetMode="External"/><Relationship Id="rId183" Type="http://schemas.openxmlformats.org/officeDocument/2006/relationships/hyperlink" Target="https://masterplan.com/courses/mp-shorts-der-false-consensus-effect" TargetMode="External"/><Relationship Id="rId182" Type="http://schemas.openxmlformats.org/officeDocument/2006/relationships/hyperlink" Target="https://masterplan.com/courses/mp-shorts-pluralistische-ignoranz" TargetMode="External"/><Relationship Id="rId181" Type="http://schemas.openxmlformats.org/officeDocument/2006/relationships/hyperlink" Target="https://masterplan.com/courses/problem-erkannt-problem-gebannt-creative-problem-solving" TargetMode="External"/><Relationship Id="rId180" Type="http://schemas.openxmlformats.org/officeDocument/2006/relationships/hyperlink" Target="https://masterplan.com/courses/elevator-pitch-in-sekundenschnelle-ueberzeugen" TargetMode="External"/><Relationship Id="rId176" Type="http://schemas.openxmlformats.org/officeDocument/2006/relationships/hyperlink" Target="https://masterplan.com/courses/mission-change-management-die-haeufigsten-fehler" TargetMode="External"/><Relationship Id="rId297" Type="http://schemas.openxmlformats.org/officeDocument/2006/relationships/hyperlink" Target="https://masterplan.com/courses/tech-updates-august-v" TargetMode="External"/><Relationship Id="rId175" Type="http://schemas.openxmlformats.org/officeDocument/2006/relationships/hyperlink" Target="https://masterplan.com/courses/mp-shorts-learning-styles" TargetMode="External"/><Relationship Id="rId296" Type="http://schemas.openxmlformats.org/officeDocument/2006/relationships/hyperlink" Target="https://masterplan.com/courses/agiles-projektmanagement-iv-kanban" TargetMode="External"/><Relationship Id="rId174" Type="http://schemas.openxmlformats.org/officeDocument/2006/relationships/hyperlink" Target="https://masterplan.com/courses/mp-shorts-der-pygmalion-effekt" TargetMode="External"/><Relationship Id="rId295" Type="http://schemas.openxmlformats.org/officeDocument/2006/relationships/hyperlink" Target="https://masterplan.com/courses/schnelles-entscheiden-leicht-gemacht" TargetMode="External"/><Relationship Id="rId173" Type="http://schemas.openxmlformats.org/officeDocument/2006/relationships/hyperlink" Target="https://masterplan.com/courses/mp-shorts-dual-coding" TargetMode="External"/><Relationship Id="rId294" Type="http://schemas.openxmlformats.org/officeDocument/2006/relationships/hyperlink" Target="https://masterplan.com/courses/agiles-projektmanagement-iii-scrum" TargetMode="External"/><Relationship Id="rId179" Type="http://schemas.openxmlformats.org/officeDocument/2006/relationships/hyperlink" Target="https://masterplan.com/courses/3-tipps-das-kannst-du-selbst-gegen-burnout-tun" TargetMode="External"/><Relationship Id="rId178" Type="http://schemas.openxmlformats.org/officeDocument/2006/relationships/hyperlink" Target="https://masterplan.com/courses/datenkompetenz-so-startet-dein-team-durch-und-du-gleich-mit" TargetMode="External"/><Relationship Id="rId299" Type="http://schemas.openxmlformats.org/officeDocument/2006/relationships/hyperlink" Target="https://masterplan.com/courses/mache-zurueckweisung-zu-deinem-freund" TargetMode="External"/><Relationship Id="rId177" Type="http://schemas.openxmlformats.org/officeDocument/2006/relationships/hyperlink" Target="https://masterplan.com/courses/vertrauen-wie-wir-es-gewinnen-und-behalten" TargetMode="External"/><Relationship Id="rId298" Type="http://schemas.openxmlformats.org/officeDocument/2006/relationships/hyperlink" Target="https://masterplan.com/courses/tech-updates-august-iv" TargetMode="External"/><Relationship Id="rId198" Type="http://schemas.openxmlformats.org/officeDocument/2006/relationships/hyperlink" Target="https://masterplan.com/courses/mp-shorts-levels-of-processing" TargetMode="External"/><Relationship Id="rId197" Type="http://schemas.openxmlformats.org/officeDocument/2006/relationships/hyperlink" Target="https://masterplan.com/courses/mp-shorts-kognitive-belastung" TargetMode="External"/><Relationship Id="rId196" Type="http://schemas.openxmlformats.org/officeDocument/2006/relationships/hyperlink" Target="https://masterplan.com/courses/mp-shorts-die-loci-methode" TargetMode="External"/><Relationship Id="rId195" Type="http://schemas.openxmlformats.org/officeDocument/2006/relationships/hyperlink" Target="https://masterplan.com/courses/adobe-photoshop-der-ultimative-guide-ii" TargetMode="External"/><Relationship Id="rId199" Type="http://schemas.openxmlformats.org/officeDocument/2006/relationships/hyperlink" Target="https://masterplan.com/courses/adobe-illustrator-der-ultimative-guide-i" TargetMode="External"/><Relationship Id="rId150" Type="http://schemas.openxmlformats.org/officeDocument/2006/relationships/hyperlink" Target="https://masterplan.com/courses/ziele-setzen-erfolge-ernten-die-kunst-des-managements" TargetMode="External"/><Relationship Id="rId271" Type="http://schemas.openxmlformats.org/officeDocument/2006/relationships/hyperlink" Target="https://masterplan.com/courses/tech-updates-september-iv" TargetMode="External"/><Relationship Id="rId392" Type="http://schemas.openxmlformats.org/officeDocument/2006/relationships/hyperlink" Target="https://masterplan.com/courses/nachhaltigkeit-im-unternehmen-iii-stakeholder-management" TargetMode="External"/><Relationship Id="rId270" Type="http://schemas.openxmlformats.org/officeDocument/2006/relationships/hyperlink" Target="https://masterplan.com/courses/unfck-sales-iv-preise-verhandeln-aber-richtig" TargetMode="External"/><Relationship Id="rId391" Type="http://schemas.openxmlformats.org/officeDocument/2006/relationships/hyperlink" Target="https://masterplan.com/courses/nachhaltigkeit-im-unternehmen-ii-nachhaltigkeitsmanagement" TargetMode="External"/><Relationship Id="rId390" Type="http://schemas.openxmlformats.org/officeDocument/2006/relationships/hyperlink" Target="https://masterplan.com/courses/nachhaltigkeit-im-unternehmen-i-die-notwendigkeit-zu-handeln" TargetMode="External"/><Relationship Id="rId1" Type="http://schemas.openxmlformats.org/officeDocument/2006/relationships/hyperlink" Target="https://masterplan.com/courses/psychologie-der-verhandlung-iv-den-uberblick-gewinnen" TargetMode="External"/><Relationship Id="rId2" Type="http://schemas.openxmlformats.org/officeDocument/2006/relationships/hyperlink" Target="https://masterplan.com/courses/was-innovation-ausser-guten-ideen-wirklich-braucht" TargetMode="External"/><Relationship Id="rId3" Type="http://schemas.openxmlformats.org/officeDocument/2006/relationships/hyperlink" Target="https://masterplan.com/courses/psychologie-der-verhandlung-iii-sich-selbst-und-andere-verstehen" TargetMode="External"/><Relationship Id="rId149" Type="http://schemas.openxmlformats.org/officeDocument/2006/relationships/hyperlink" Target="https://masterplan.com/courses/mp-shorts-creative-problem-solving" TargetMode="External"/><Relationship Id="rId4" Type="http://schemas.openxmlformats.org/officeDocument/2006/relationships/hyperlink" Target="https://masterplan.com/courses/psychologie-der-verhandlung-ii-3-grundmodelle" TargetMode="External"/><Relationship Id="rId148" Type="http://schemas.openxmlformats.org/officeDocument/2006/relationships/hyperlink" Target="https://masterplan.com/courses/mp-shorts-der-negativity-bias" TargetMode="External"/><Relationship Id="rId269" Type="http://schemas.openxmlformats.org/officeDocument/2006/relationships/hyperlink" Target="https://masterplan.com/courses/unfck-sales-iii-spin-und-die-4-vertriebsprozesse" TargetMode="External"/><Relationship Id="rId9" Type="http://schemas.openxmlformats.org/officeDocument/2006/relationships/hyperlink" Target="https://masterplan.com/courses/mp-shorts-kreativ-werden-mit-der-walt-disney-methode" TargetMode="External"/><Relationship Id="rId143" Type="http://schemas.openxmlformats.org/officeDocument/2006/relationships/hyperlink" Target="https://masterplan.com/courses/mp-shorts-double-loop-learning" TargetMode="External"/><Relationship Id="rId264" Type="http://schemas.openxmlformats.org/officeDocument/2006/relationships/hyperlink" Target="https://masterplan.com/courses/ki-deep-dive-das-geheimnis-selbstfahrender-autos" TargetMode="External"/><Relationship Id="rId385" Type="http://schemas.openxmlformats.org/officeDocument/2006/relationships/hyperlink" Target="https://masterplan.com/courses/11-techniken-um-stress-abzubauen" TargetMode="External"/><Relationship Id="rId142" Type="http://schemas.openxmlformats.org/officeDocument/2006/relationships/hyperlink" Target="https://masterplan.com/courses/mp-shorts-fluency-illusion" TargetMode="External"/><Relationship Id="rId263" Type="http://schemas.openxmlformats.org/officeDocument/2006/relationships/hyperlink" Target="https://masterplan.com/courses/ki-deep-dive-warum-so-viele-ki-projekte-scheitern" TargetMode="External"/><Relationship Id="rId384" Type="http://schemas.openxmlformats.org/officeDocument/2006/relationships/hyperlink" Target="https://masterplan.com/courses/mitarbeiterfuhrung-v-wunderwaffe-identitaetsmanagement" TargetMode="External"/><Relationship Id="rId141" Type="http://schemas.openxmlformats.org/officeDocument/2006/relationships/hyperlink" Target="https://masterplan.com/courses/in-8-minuten-stress-wegatmen-entspannen" TargetMode="External"/><Relationship Id="rId262" Type="http://schemas.openxmlformats.org/officeDocument/2006/relationships/hyperlink" Target="https://masterplan.com/courses/ki-deep-dive-personalisierung" TargetMode="External"/><Relationship Id="rId383" Type="http://schemas.openxmlformats.org/officeDocument/2006/relationships/hyperlink" Target="https://masterplan.com/courses/seo-strategien-keyword-recherche" TargetMode="External"/><Relationship Id="rId140" Type="http://schemas.openxmlformats.org/officeDocument/2006/relationships/hyperlink" Target="https://masterplan.com/courses/10-minuten-bewegungspause-gegen-verspannungen" TargetMode="External"/><Relationship Id="rId261" Type="http://schemas.openxmlformats.org/officeDocument/2006/relationships/hyperlink" Target="https://masterplan.com/courses/ki-deep-dive-wie-ki-die-energiebranche-revolutionieren-kann" TargetMode="External"/><Relationship Id="rId382" Type="http://schemas.openxmlformats.org/officeDocument/2006/relationships/hyperlink" Target="https://masterplan.com/courses/konfliktloesung-leicht-gemacht-31-hilfreiche-tipps" TargetMode="External"/><Relationship Id="rId5" Type="http://schemas.openxmlformats.org/officeDocument/2006/relationships/hyperlink" Target="https://masterplan.com/courses/psychologie-der-verhandlung-i-die-basics" TargetMode="External"/><Relationship Id="rId147" Type="http://schemas.openxmlformats.org/officeDocument/2006/relationships/hyperlink" Target="https://masterplan.com/courses/mp-shorts-die-inversionstaktik" TargetMode="External"/><Relationship Id="rId268" Type="http://schemas.openxmlformats.org/officeDocument/2006/relationships/hyperlink" Target="https://masterplan.com/courses/wie-du-diversitaet-und-inklusion-am-arbeitsplatz-foerderst" TargetMode="External"/><Relationship Id="rId389" Type="http://schemas.openxmlformats.org/officeDocument/2006/relationships/hyperlink" Target="https://masterplan.com/courses/dein-ruecken-sagt-danke-so-arbeitest-du-gesund" TargetMode="External"/><Relationship Id="rId6" Type="http://schemas.openxmlformats.org/officeDocument/2006/relationships/hyperlink" Target="https://masterplan.com/courses/der-weg-zum-aktiven-lernen" TargetMode="External"/><Relationship Id="rId146" Type="http://schemas.openxmlformats.org/officeDocument/2006/relationships/hyperlink" Target="https://masterplan.com/courses/learning-as-a-leader" TargetMode="External"/><Relationship Id="rId267" Type="http://schemas.openxmlformats.org/officeDocument/2006/relationships/hyperlink" Target="https://masterplan.com/courses/data-science-im-detail-iv-statistik" TargetMode="External"/><Relationship Id="rId388" Type="http://schemas.openxmlformats.org/officeDocument/2006/relationships/hyperlink" Target="https://masterplan.com/courses/schwere-gespraeche-einfache-loesung-die-cause-methode" TargetMode="External"/><Relationship Id="rId7" Type="http://schemas.openxmlformats.org/officeDocument/2006/relationships/hyperlink" Target="https://masterplan.com/courses/mp-shorts-einfach-mal-nichts-tun-das-default-mode-network" TargetMode="External"/><Relationship Id="rId145" Type="http://schemas.openxmlformats.org/officeDocument/2006/relationships/hyperlink" Target="https://masterplan.com/courses/teamfuhrung-in-zeiten-des-wandels-neue-perspektiven-etablieren" TargetMode="External"/><Relationship Id="rId266" Type="http://schemas.openxmlformats.org/officeDocument/2006/relationships/hyperlink" Target="http://datalab.cc" TargetMode="External"/><Relationship Id="rId387" Type="http://schemas.openxmlformats.org/officeDocument/2006/relationships/hyperlink" Target="https://masterplan.com/courses/einatmen-ausatmen-3-einfache-entspannungsuebungen" TargetMode="External"/><Relationship Id="rId8" Type="http://schemas.openxmlformats.org/officeDocument/2006/relationships/hyperlink" Target="https://masterplan.com/courses/der-eu-ai-act-alles-was-du-wissen-musst" TargetMode="External"/><Relationship Id="rId144" Type="http://schemas.openxmlformats.org/officeDocument/2006/relationships/hyperlink" Target="https://masterplan.com/courses/zeit-ist-nicht-alles-das-potenzial-desenergiemanagements" TargetMode="External"/><Relationship Id="rId265" Type="http://schemas.openxmlformats.org/officeDocument/2006/relationships/hyperlink" Target="https://masterplan.com/courses/fuer-den-guten-zweck-finanzmanagement-in-npos" TargetMode="External"/><Relationship Id="rId386" Type="http://schemas.openxmlformats.org/officeDocument/2006/relationships/hyperlink" Target="https://masterplan.com/courses/fit-am-arbeitsplatz-so-beugst-du-verspannungen-vor" TargetMode="External"/><Relationship Id="rId260" Type="http://schemas.openxmlformats.org/officeDocument/2006/relationships/hyperlink" Target="https://masterplan.com/courses/mitarbeiter-benefits-womit-du-dein-team-gluecklich-machst" TargetMode="External"/><Relationship Id="rId381" Type="http://schemas.openxmlformats.org/officeDocument/2006/relationships/hyperlink" Target="https://masterplan.com/courses/teams-fuehren-ii-entscheidungen-als-team-treffen" TargetMode="External"/><Relationship Id="rId380" Type="http://schemas.openxmlformats.org/officeDocument/2006/relationships/hyperlink" Target="https://masterplan.com/courses/teams-fuehren-iv-gelerntes-umsetzen" TargetMode="External"/><Relationship Id="rId139" Type="http://schemas.openxmlformats.org/officeDocument/2006/relationships/hyperlink" Target="https://masterplan.com/courses/5-minuten-gegen-ruckenschmerzen-im-buro" TargetMode="External"/><Relationship Id="rId138" Type="http://schemas.openxmlformats.org/officeDocument/2006/relationships/hyperlink" Target="https://masterplan.com/courses/der-produktivitats-mythos" TargetMode="External"/><Relationship Id="rId259" Type="http://schemas.openxmlformats.org/officeDocument/2006/relationships/hyperlink" Target="https://masterplan.com/courses/so-baust-du-eine-starke-unternehmenskultur-auf" TargetMode="External"/><Relationship Id="rId137" Type="http://schemas.openxmlformats.org/officeDocument/2006/relationships/hyperlink" Target="https://masterplan.com/courses/mut-zur-veranderung-innovatives-handeln-und-risiken" TargetMode="External"/><Relationship Id="rId258" Type="http://schemas.openxmlformats.org/officeDocument/2006/relationships/hyperlink" Target="https://masterplan.com/courses/mp-shorts-die-verfuegbarkeitsheuristik" TargetMode="External"/><Relationship Id="rId379" Type="http://schemas.openxmlformats.org/officeDocument/2006/relationships/hyperlink" Target="https://masterplan.com/courses/teams-fuehren-iii-kreiere-eine-gruppenidentitaet" TargetMode="External"/><Relationship Id="rId132" Type="http://schemas.openxmlformats.org/officeDocument/2006/relationships/hyperlink" Target="https://masterplan.com/courses/mitarbeiterfuhrung-ohne-mikromanagement" TargetMode="External"/><Relationship Id="rId253" Type="http://schemas.openxmlformats.org/officeDocument/2006/relationships/hyperlink" Target="https://masterplan.com/courses/einfuehrung-in-miro-ein-whiteboard-fuer-alle-faelle" TargetMode="External"/><Relationship Id="rId374" Type="http://schemas.openxmlformats.org/officeDocument/2006/relationships/hyperlink" Target="https://masterplan.com/courses/culture-of-good-18-impulse-fuer-deine-unternehmenskultur" TargetMode="External"/><Relationship Id="rId495" Type="http://schemas.openxmlformats.org/officeDocument/2006/relationships/hyperlink" Target="https://masterplan.com/courses/unconscious-bias" TargetMode="External"/><Relationship Id="rId131" Type="http://schemas.openxmlformats.org/officeDocument/2006/relationships/hyperlink" Target="https://masterplan.com/courses/uberlegst-du-noch-oder-schreibst-du-schon" TargetMode="External"/><Relationship Id="rId252" Type="http://schemas.openxmlformats.org/officeDocument/2006/relationships/hyperlink" Target="https://masterplan.com/courses/nachhaltige-geschaeftsmodelle-iii-zirkulaere-und-kollaborative-geschaeftsmodelle" TargetMode="External"/><Relationship Id="rId373" Type="http://schemas.openxmlformats.org/officeDocument/2006/relationships/hyperlink" Target="https://masterplan.com/courses/hard-tech-von-ibm-die-computing-revolution" TargetMode="External"/><Relationship Id="rId494" Type="http://schemas.openxmlformats.org/officeDocument/2006/relationships/hyperlink" Target="https://masterplan.com/courses/female-leadership-1-vorteile-und-potenziale" TargetMode="External"/><Relationship Id="rId130" Type="http://schemas.openxmlformats.org/officeDocument/2006/relationships/hyperlink" Target="https://masterplan.com/courses/verkaufskompetenz-fur-nicht-verkaufer" TargetMode="External"/><Relationship Id="rId251" Type="http://schemas.openxmlformats.org/officeDocument/2006/relationships/hyperlink" Target="https://masterplan.com/courses/nachhaltige-geschaeftsmodelle-ii-was-ist-ein-nachhaltiges-geschaeftsmodell" TargetMode="External"/><Relationship Id="rId372" Type="http://schemas.openxmlformats.org/officeDocument/2006/relationships/hyperlink" Target="https://masterplan.com/courses/design-verstehen-iii-design-und-gesellschaft" TargetMode="External"/><Relationship Id="rId493" Type="http://schemas.openxmlformats.org/officeDocument/2006/relationships/hyperlink" Target="https://masterplan.com/courses/female-leadership-2-karriere-und-netzwerke" TargetMode="External"/><Relationship Id="rId250" Type="http://schemas.openxmlformats.org/officeDocument/2006/relationships/hyperlink" Target="https://masterplan.com/courses/mit-zwoelf-tipps-zum-moderationsprofi" TargetMode="External"/><Relationship Id="rId371" Type="http://schemas.openxmlformats.org/officeDocument/2006/relationships/hyperlink" Target="https://masterplan.com/courses/design-verstehen-ii-user-und-kontext" TargetMode="External"/><Relationship Id="rId492" Type="http://schemas.openxmlformats.org/officeDocument/2006/relationships/hyperlink" Target="https://masterplan.com/courses/female-leadership-4-gemeinsam-fuehren" TargetMode="External"/><Relationship Id="rId136" Type="http://schemas.openxmlformats.org/officeDocument/2006/relationships/hyperlink" Target="https://masterplan.com/courses/erfolgreiche-prasentationen-gestalten-was-du-von-ted-talks-lernen-kannst" TargetMode="External"/><Relationship Id="rId257" Type="http://schemas.openxmlformats.org/officeDocument/2006/relationships/hyperlink" Target="https://masterplan.com/courses/mp-shorts-goodharts-law" TargetMode="External"/><Relationship Id="rId378" Type="http://schemas.openxmlformats.org/officeDocument/2006/relationships/hyperlink" Target="https://masterplan.com/courses/gut-entscheiden-ii-unsicherheiten-richtig-managen" TargetMode="External"/><Relationship Id="rId499" Type="http://schemas.openxmlformats.org/officeDocument/2006/relationships/hyperlink" Target="https://masterplan.com/courses/zuversicht-4-das-warum-des-lebens" TargetMode="External"/><Relationship Id="rId135" Type="http://schemas.openxmlformats.org/officeDocument/2006/relationships/hyperlink" Target="https://masterplan.com/courses/wie-ki-jedes-unternehmen-starken-konnte" TargetMode="External"/><Relationship Id="rId256" Type="http://schemas.openxmlformats.org/officeDocument/2006/relationships/hyperlink" Target="https://masterplan.com/courses/mark-zuckerberg-und-die-zukunft-des-internets" TargetMode="External"/><Relationship Id="rId377" Type="http://schemas.openxmlformats.org/officeDocument/2006/relationships/hyperlink" Target="https://masterplan.com/courses/gut-entscheiden-i-risiko-abwaegen-unsicherheiten-erkennen" TargetMode="External"/><Relationship Id="rId498" Type="http://schemas.openxmlformats.org/officeDocument/2006/relationships/hyperlink" Target="https://masterplan.com/courses/zuversicht-2-wie-man-die-innere-freiheit-staerkt" TargetMode="External"/><Relationship Id="rId134" Type="http://schemas.openxmlformats.org/officeDocument/2006/relationships/hyperlink" Target="https://masterplan.com/courses/wie-ki-bildung-retten-und-nicht-zerstoren-konnte" TargetMode="External"/><Relationship Id="rId255" Type="http://schemas.openxmlformats.org/officeDocument/2006/relationships/hyperlink" Target="https://masterplan.com/courses/nachhaltige-geschaeftsmodelle-i-die-schwierigkeiten-der-nachhaltigkeit" TargetMode="External"/><Relationship Id="rId376" Type="http://schemas.openxmlformats.org/officeDocument/2006/relationships/hyperlink" Target="https://masterplan.com/courses/gut-entscheiden-iii-aus-fehlern-lernen" TargetMode="External"/><Relationship Id="rId497" Type="http://schemas.openxmlformats.org/officeDocument/2006/relationships/hyperlink" Target="https://masterplan.com/courses/vertriebspsychologie" TargetMode="External"/><Relationship Id="rId133" Type="http://schemas.openxmlformats.org/officeDocument/2006/relationships/hyperlink" Target="https://masterplan.com/courses/warum-ki-unglaublich-klug-und-erschreckend-dumm-ist" TargetMode="External"/><Relationship Id="rId254" Type="http://schemas.openxmlformats.org/officeDocument/2006/relationships/hyperlink" Target="https://masterplan.com/courses/shortcut-o-matic-mit-weniger-stress-zu-besseren-entscheidungen" TargetMode="External"/><Relationship Id="rId375" Type="http://schemas.openxmlformats.org/officeDocument/2006/relationships/hyperlink" Target="https://masterplan.com/courses/mitarbeiterfuehrung-vii-motivatoren-und-demotivatoren" TargetMode="External"/><Relationship Id="rId496" Type="http://schemas.openxmlformats.org/officeDocument/2006/relationships/hyperlink" Target="https://masterplan.com/courses/female-leadership-3-erfolg-durch-gleichstellung" TargetMode="External"/><Relationship Id="rId172" Type="http://schemas.openxmlformats.org/officeDocument/2006/relationships/hyperlink" Target="https://masterplan.com/courses/koerper-und-psyche-warum-emotionen-unsere-gesundheit-beeinflussen" TargetMode="External"/><Relationship Id="rId293" Type="http://schemas.openxmlformats.org/officeDocument/2006/relationships/hyperlink" Target="https://masterplan.com/courses/gute-daten-schlechte-daten-so-entstehen-ki-biases" TargetMode="External"/><Relationship Id="rId171" Type="http://schemas.openxmlformats.org/officeDocument/2006/relationships/hyperlink" Target="https://masterplan.com/courses/biohacking-fuers-gehirn-schneller-und-besser-lernen" TargetMode="External"/><Relationship Id="rId292" Type="http://schemas.openxmlformats.org/officeDocument/2006/relationships/hyperlink" Target="https://masterplan.com/courses/achtsamkeit-wissenschaftlich-erklaert" TargetMode="External"/><Relationship Id="rId170" Type="http://schemas.openxmlformats.org/officeDocument/2006/relationships/hyperlink" Target="https://masterplan.com/courses/ueberzeugend-reden-mit-der-succes-formel" TargetMode="External"/><Relationship Id="rId291" Type="http://schemas.openxmlformats.org/officeDocument/2006/relationships/hyperlink" Target="https://masterplan.com/courses/das-dream-team-vom-dienst-menschen-und-ki" TargetMode="External"/><Relationship Id="rId290" Type="http://schemas.openxmlformats.org/officeDocument/2006/relationships/hyperlink" Target="https://masterplan.com/courses/wie-du-dein-selbstvertrauen-weckst-und-andere-damit-ansteckst" TargetMode="External"/><Relationship Id="rId165" Type="http://schemas.openxmlformats.org/officeDocument/2006/relationships/hyperlink" Target="https://masterplan.com/courses/wie-du-deine-marketing-ki-maximieren-kannst" TargetMode="External"/><Relationship Id="rId286" Type="http://schemas.openxmlformats.org/officeDocument/2006/relationships/hyperlink" Target="https://masterplan.com/courses/vorsicht-vor-filter-blasen-im-internet" TargetMode="External"/><Relationship Id="rId164" Type="http://schemas.openxmlformats.org/officeDocument/2006/relationships/hyperlink" Target="https://masterplan.com/courses/verbessere-dein-kritisches-denken-in-sekundenschnelle" TargetMode="External"/><Relationship Id="rId285" Type="http://schemas.openxmlformats.org/officeDocument/2006/relationships/hyperlink" Target="https://masterplan.com/courses/agiles-projektmanagement-v-agile-leadership" TargetMode="External"/><Relationship Id="rId163" Type="http://schemas.openxmlformats.org/officeDocument/2006/relationships/hyperlink" Target="https://masterplan.com/courses/wie-du-mitarbeitende-effizient-weiterentwickelst" TargetMode="External"/><Relationship Id="rId284" Type="http://schemas.openxmlformats.org/officeDocument/2006/relationships/hyperlink" Target="https://masterplan.com/courses/das-raetsel-der-motivation" TargetMode="External"/><Relationship Id="rId162" Type="http://schemas.openxmlformats.org/officeDocument/2006/relationships/hyperlink" Target="https://masterplan.com/courses/mp-shorts-die-getting-things-done-methode" TargetMode="External"/><Relationship Id="rId283" Type="http://schemas.openxmlformats.org/officeDocument/2006/relationships/hyperlink" Target="https://masterplan.com/courses/die-zukunft-beginnt-heute-potenziale-von-deep-tech" TargetMode="External"/><Relationship Id="rId169" Type="http://schemas.openxmlformats.org/officeDocument/2006/relationships/hyperlink" Target="https://masterplan.com/courses/culture-map-so-meisterst-du-das-kulturelle-minenfeld" TargetMode="External"/><Relationship Id="rId168" Type="http://schemas.openxmlformats.org/officeDocument/2006/relationships/hyperlink" Target="https://masterplan.com/courses/kreativitaet-managen-und-foerdern" TargetMode="External"/><Relationship Id="rId289" Type="http://schemas.openxmlformats.org/officeDocument/2006/relationships/hyperlink" Target="https://masterplan.com/courses/mit-gefuehl-emotionen-am-arbeitsplatz-zulassen" TargetMode="External"/><Relationship Id="rId167" Type="http://schemas.openxmlformats.org/officeDocument/2006/relationships/hyperlink" Target="https://masterplan.com/courses/alles-kopfsache-konzentration-steigern-und-fokus-finden" TargetMode="External"/><Relationship Id="rId288" Type="http://schemas.openxmlformats.org/officeDocument/2006/relationships/hyperlink" Target="https://masterplan.com/courses/wie-man-in-krisen-fuehrt" TargetMode="External"/><Relationship Id="rId166" Type="http://schemas.openxmlformats.org/officeDocument/2006/relationships/hyperlink" Target="https://masterplan.com/courses/das-statistik-1x1" TargetMode="External"/><Relationship Id="rId287" Type="http://schemas.openxmlformats.org/officeDocument/2006/relationships/hyperlink" Target="https://masterplan.com/courses/meeting-overload-5-tipps-die-dir-wieder-zeit-verschaffen" TargetMode="External"/><Relationship Id="rId161" Type="http://schemas.openxmlformats.org/officeDocument/2006/relationships/hyperlink" Target="https://masterplan.com/courses/mp-shorts-der-zeigarnik-effekt" TargetMode="External"/><Relationship Id="rId282" Type="http://schemas.openxmlformats.org/officeDocument/2006/relationships/hyperlink" Target="https://masterplan.com/courses/inklusives-design-hilft-uns-allen" TargetMode="External"/><Relationship Id="rId160" Type="http://schemas.openxmlformats.org/officeDocument/2006/relationships/hyperlink" Target="https://masterplan.com/courses/mp-shorts-die-pomodoro-technik" TargetMode="External"/><Relationship Id="rId281" Type="http://schemas.openxmlformats.org/officeDocument/2006/relationships/hyperlink" Target="https://masterplan.com/courses/warum-du-denkst-keine-zeit-zu-haben-und-wie-sich-das-aendern-laesst" TargetMode="External"/><Relationship Id="rId280" Type="http://schemas.openxmlformats.org/officeDocument/2006/relationships/hyperlink" Target="https://masterplan.com/courses/tech-updates-september-i" TargetMode="External"/><Relationship Id="rId159" Type="http://schemas.openxmlformats.org/officeDocument/2006/relationships/hyperlink" Target="https://masterplan.com/courses/talente-entfalten-die-schluesselrolle-des-managers" TargetMode="External"/><Relationship Id="rId154" Type="http://schemas.openxmlformats.org/officeDocument/2006/relationships/hyperlink" Target="https://masterplan.com/courses/veraenderungen-meistern-effektives-change-management" TargetMode="External"/><Relationship Id="rId275" Type="http://schemas.openxmlformats.org/officeDocument/2006/relationships/hyperlink" Target="https://masterplan.com/courses/14-kernkompetenzen-erfolgreicher-hr-managerinnen" TargetMode="External"/><Relationship Id="rId396" Type="http://schemas.openxmlformats.org/officeDocument/2006/relationships/hyperlink" Target="https://masterplan.com/courses/mitarbeiterfuhrung-iv-das-entwicklungsgesprach-als-motivator" TargetMode="External"/><Relationship Id="rId153" Type="http://schemas.openxmlformats.org/officeDocument/2006/relationships/hyperlink" Target="https://masterplan.com/courses/mp-shorts-der-odysseus-pakt" TargetMode="External"/><Relationship Id="rId274" Type="http://schemas.openxmlformats.org/officeDocument/2006/relationships/hyperlink" Target="https://masterplan.com/courses/unfck-sales-ii-eiskalt-akquiriert" TargetMode="External"/><Relationship Id="rId395" Type="http://schemas.openxmlformats.org/officeDocument/2006/relationships/hyperlink" Target="https://masterplan.com/courses/mitarbeiterfuehrung-iii-lernen-foerdern-durch-starkes-feedback" TargetMode="External"/><Relationship Id="rId152" Type="http://schemas.openxmlformats.org/officeDocument/2006/relationships/hyperlink" Target="https://masterplan.com/courses/mp-shorts-task-paralysis" TargetMode="External"/><Relationship Id="rId273" Type="http://schemas.openxmlformats.org/officeDocument/2006/relationships/hyperlink" Target="https://masterplan.com/courses/unfck-sales-i-das-high-performer-1-1" TargetMode="External"/><Relationship Id="rId394" Type="http://schemas.openxmlformats.org/officeDocument/2006/relationships/hyperlink" Target="https://masterplan.com/courses/mitarbeiterfuehrung-ii-persoenlichkeit-und-werte" TargetMode="External"/><Relationship Id="rId151" Type="http://schemas.openxmlformats.org/officeDocument/2006/relationships/hyperlink" Target="https://masterplan.com/courses/mp-shorts-hochsensibilitaet" TargetMode="External"/><Relationship Id="rId272" Type="http://schemas.openxmlformats.org/officeDocument/2006/relationships/hyperlink" Target="https://masterplan.com/courses/tech-updates-september-iii" TargetMode="External"/><Relationship Id="rId393" Type="http://schemas.openxmlformats.org/officeDocument/2006/relationships/hyperlink" Target="https://masterplan.com/courses/mitarbeiterfuehrung-i-die-3-bausteine-fuer-erfolgreiche-fuehrung" TargetMode="External"/><Relationship Id="rId158" Type="http://schemas.openxmlformats.org/officeDocument/2006/relationships/hyperlink" Target="https://masterplan.com/courses/null-problemo-probleme-strategisch-loesen" TargetMode="External"/><Relationship Id="rId279" Type="http://schemas.openxmlformats.org/officeDocument/2006/relationships/hyperlink" Target="https://masterplan.com/courses/mit-hr-zum-erfolg-14-best-practices-die-den-grundstein-legen" TargetMode="External"/><Relationship Id="rId157" Type="http://schemas.openxmlformats.org/officeDocument/2006/relationships/hyperlink" Target="https://masterplan.com/courses/coaching-fuer-hoechstleistungen-mitarbeitererfolge-foerdern" TargetMode="External"/><Relationship Id="rId278" Type="http://schemas.openxmlformats.org/officeDocument/2006/relationships/hyperlink" Target="https://masterplan.com/courses/elon-musk-wie-sieht-unsere-zukunft-aus" TargetMode="External"/><Relationship Id="rId399" Type="http://schemas.openxmlformats.org/officeDocument/2006/relationships/hyperlink" Target="https://masterplan.com/courses/gerechtigkeit-im-job-die-3-prinzipien-von-fairness" TargetMode="External"/><Relationship Id="rId156" Type="http://schemas.openxmlformats.org/officeDocument/2006/relationships/hyperlink" Target="https://masterplan.com/courses/strategie-braucht-kreativitaet-strategische-kreativitaet-foerdern" TargetMode="External"/><Relationship Id="rId277" Type="http://schemas.openxmlformats.org/officeDocument/2006/relationships/hyperlink" Target="https://masterplan.com/courses/wie-man-mit-transgender-menschen-spricht-und-ihnen-zuhoert" TargetMode="External"/><Relationship Id="rId398" Type="http://schemas.openxmlformats.org/officeDocument/2006/relationships/hyperlink" Target="https://masterplan.com/courses/die-formen-der-macht-und-wie-du-sie-einsetzt" TargetMode="External"/><Relationship Id="rId155" Type="http://schemas.openxmlformats.org/officeDocument/2006/relationships/hyperlink" Target="https://masterplan.com/courses/power-teams-gemeinsam-spitzenleistungen-erreichen" TargetMode="External"/><Relationship Id="rId276" Type="http://schemas.openxmlformats.org/officeDocument/2006/relationships/hyperlink" Target="https://masterplan.com/courses/tech-updates-september-ii" TargetMode="External"/><Relationship Id="rId397" Type="http://schemas.openxmlformats.org/officeDocument/2006/relationships/hyperlink" Target="https://masterplan.com/courses/mitarbeiterfuhrung-vi-gute-stimmung-fuer-den-erfolg" TargetMode="External"/><Relationship Id="rId40" Type="http://schemas.openxmlformats.org/officeDocument/2006/relationships/hyperlink" Target="https://masterplan.com/courses/bessere-entscheidungen-treffen" TargetMode="External"/><Relationship Id="rId42" Type="http://schemas.openxmlformats.org/officeDocument/2006/relationships/hyperlink" Target="https://masterplan.com/courses/wie-kreativitat-funktioniert" TargetMode="External"/><Relationship Id="rId41" Type="http://schemas.openxmlformats.org/officeDocument/2006/relationships/hyperlink" Target="https://masterplan.com/courses/mit-storytelling-auf-anhieb-uberzeugen" TargetMode="External"/><Relationship Id="rId44" Type="http://schemas.openxmlformats.org/officeDocument/2006/relationships/hyperlink" Target="https://masterplan.com/courses/hybrides-fuhren-i-willkommen-im-new-normal" TargetMode="External"/><Relationship Id="rId43" Type="http://schemas.openxmlformats.org/officeDocument/2006/relationships/hyperlink" Target="https://masterplan.com/courses/hybrides-fuhren-ii-verbinden-und-starken" TargetMode="External"/><Relationship Id="rId46" Type="http://schemas.openxmlformats.org/officeDocument/2006/relationships/hyperlink" Target="https://masterplan.com/courses/interkulturelle-kompetenz-iv-interkulturelle-kompetenz" TargetMode="External"/><Relationship Id="rId45" Type="http://schemas.openxmlformats.org/officeDocument/2006/relationships/hyperlink" Target="https://masterplan.com/courses/mp-shorts-irrefuhrende-diagramme" TargetMode="External"/><Relationship Id="rId509" Type="http://schemas.openxmlformats.org/officeDocument/2006/relationships/hyperlink" Target="https://masterplan.com/courses/so-machen-zoom-meetings-spass" TargetMode="External"/><Relationship Id="rId508" Type="http://schemas.openxmlformats.org/officeDocument/2006/relationships/hyperlink" Target="https://masterplan.com/courses/die-freizeit-geniessen-ohne-an-arbeit-zu-denken" TargetMode="External"/><Relationship Id="rId629" Type="http://schemas.openxmlformats.org/officeDocument/2006/relationships/hyperlink" Target="https://masterplan.com/courses/konfliktloesung" TargetMode="External"/><Relationship Id="rId503" Type="http://schemas.openxmlformats.org/officeDocument/2006/relationships/hyperlink" Target="https://masterplan.com/courses/der-karriere-tipp-den-sie-wahrscheinlich-nie-bekamen" TargetMode="External"/><Relationship Id="rId624" Type="http://schemas.openxmlformats.org/officeDocument/2006/relationships/hyperlink" Target="https://masterplan.com/courses/howto-shoot-content" TargetMode="External"/><Relationship Id="rId745" Type="http://schemas.openxmlformats.org/officeDocument/2006/relationships/hyperlink" Target="https://masterplan.com/courses/plattformen-netzwerkeffekte" TargetMode="External"/><Relationship Id="rId502" Type="http://schemas.openxmlformats.org/officeDocument/2006/relationships/hyperlink" Target="https://masterplan.com/courses/ohne-kontext-ist-technologie-unmoeglich" TargetMode="External"/><Relationship Id="rId623" Type="http://schemas.openxmlformats.org/officeDocument/2006/relationships/hyperlink" Target="https://masterplan.com/courses/howto-edit-content" TargetMode="External"/><Relationship Id="rId744" Type="http://schemas.openxmlformats.org/officeDocument/2006/relationships/hyperlink" Target="https://masterplan.com/courses/new-work" TargetMode="External"/><Relationship Id="rId501" Type="http://schemas.openxmlformats.org/officeDocument/2006/relationships/hyperlink" Target="https://masterplan.com/courses/zuversicht-1-von-der-angst-zur-gestaltungskraft" TargetMode="External"/><Relationship Id="rId622" Type="http://schemas.openxmlformats.org/officeDocument/2006/relationships/hyperlink" Target="https://masterplan.com/courses/office365-excel-basics" TargetMode="External"/><Relationship Id="rId743" Type="http://schemas.openxmlformats.org/officeDocument/2006/relationships/hyperlink" Target="https://masterplan.com/courses/daten-2" TargetMode="External"/><Relationship Id="rId500" Type="http://schemas.openxmlformats.org/officeDocument/2006/relationships/hyperlink" Target="https://masterplan.com/courses/zuversicht-3-zukunftshoffnung-staerken" TargetMode="External"/><Relationship Id="rId621" Type="http://schemas.openxmlformats.org/officeDocument/2006/relationships/hyperlink" Target="https://masterplan.com/courses/office365-excel-advanced-1" TargetMode="External"/><Relationship Id="rId742" Type="http://schemas.openxmlformats.org/officeDocument/2006/relationships/hyperlink" Target="https://masterplan.com/courses/hierarchy-becomes-agile" TargetMode="External"/><Relationship Id="rId507" Type="http://schemas.openxmlformats.org/officeDocument/2006/relationships/hyperlink" Target="https://masterplan.com/courses/was-eine-fuehrungspersoenlichkeit-ausmacht" TargetMode="External"/><Relationship Id="rId628" Type="http://schemas.openxmlformats.org/officeDocument/2006/relationships/hyperlink" Target="https://masterplan.com/courses/office-365-outlook-expert" TargetMode="External"/><Relationship Id="rId749" Type="http://schemas.openxmlformats.org/officeDocument/2006/relationships/hyperlink" Target="https://masterplan.com/courses/einleitung" TargetMode="External"/><Relationship Id="rId506" Type="http://schemas.openxmlformats.org/officeDocument/2006/relationships/hyperlink" Target="https://masterplan.com/courses/gewohnheiten-schaffen-in-nur-1-minute" TargetMode="External"/><Relationship Id="rId627" Type="http://schemas.openxmlformats.org/officeDocument/2006/relationships/hyperlink" Target="https://masterplan.com/courses/office365-onenote-advanced" TargetMode="External"/><Relationship Id="rId748" Type="http://schemas.openxmlformats.org/officeDocument/2006/relationships/hyperlink" Target="https://masterplan.com/courses/unternehmenskultur" TargetMode="External"/><Relationship Id="rId505" Type="http://schemas.openxmlformats.org/officeDocument/2006/relationships/hyperlink" Target="https://masterplan.com/courses/so-reden-dass-andere-einem-zuhoren-wollen" TargetMode="External"/><Relationship Id="rId626" Type="http://schemas.openxmlformats.org/officeDocument/2006/relationships/hyperlink" Target="https://masterplan.com/courses/office-365-onenote-expert" TargetMode="External"/><Relationship Id="rId747" Type="http://schemas.openxmlformats.org/officeDocument/2006/relationships/hyperlink" Target="https://masterplan.com/courses/daten-1" TargetMode="External"/><Relationship Id="rId504" Type="http://schemas.openxmlformats.org/officeDocument/2006/relationships/hyperlink" Target="https://masterplan.com/courses/wie-man-sich-in-einer-schnellen-welt-neu-erfindet" TargetMode="External"/><Relationship Id="rId625" Type="http://schemas.openxmlformats.org/officeDocument/2006/relationships/hyperlink" Target="https://masterplan.com/courses/howto-produce-own-content" TargetMode="External"/><Relationship Id="rId746" Type="http://schemas.openxmlformats.org/officeDocument/2006/relationships/hyperlink" Target="https://masterplan.com/courses/arbeitsmethoden" TargetMode="External"/><Relationship Id="rId48" Type="http://schemas.openxmlformats.org/officeDocument/2006/relationships/hyperlink" Target="https://masterplan.com/courses/interkulturelle-kompetenz-iii-heterogene-arbeitsstile-in-teams" TargetMode="External"/><Relationship Id="rId47" Type="http://schemas.openxmlformats.org/officeDocument/2006/relationships/hyperlink" Target="https://masterplan.com/courses/technologien-der-zukunft" TargetMode="External"/><Relationship Id="rId49" Type="http://schemas.openxmlformats.org/officeDocument/2006/relationships/hyperlink" Target="https://masterplan.com/courses/interkulturelle-kompetenz-ii-kommunikation-meistern" TargetMode="External"/><Relationship Id="rId620" Type="http://schemas.openxmlformats.org/officeDocument/2006/relationships/hyperlink" Target="https://masterplan.com/courses/empathie-fuehrungspositionen" TargetMode="External"/><Relationship Id="rId741" Type="http://schemas.openxmlformats.org/officeDocument/2006/relationships/hyperlink" Target="https://masterplan.com/courses/brand-ambassador-marketing" TargetMode="External"/><Relationship Id="rId740" Type="http://schemas.openxmlformats.org/officeDocument/2006/relationships/hyperlink" Target="https://masterplan.com/courses/native-advertising" TargetMode="External"/><Relationship Id="rId31" Type="http://schemas.openxmlformats.org/officeDocument/2006/relationships/hyperlink" Target="https://masterplan.com/courses/das-alignment-problem" TargetMode="External"/><Relationship Id="rId30" Type="http://schemas.openxmlformats.org/officeDocument/2006/relationships/hyperlink" Target="https://masterplan.com/courses/mp-shorts-bias-in-ki" TargetMode="External"/><Relationship Id="rId33" Type="http://schemas.openxmlformats.org/officeDocument/2006/relationships/hyperlink" Target="https://masterplan.com/courses/mp-shorts-secret-cyborgs" TargetMode="External"/><Relationship Id="rId32" Type="http://schemas.openxmlformats.org/officeDocument/2006/relationships/hyperlink" Target="https://masterplan.com/courses/risiken-und-herausforderungen-kunstlicher-intelligenz" TargetMode="External"/><Relationship Id="rId35" Type="http://schemas.openxmlformats.org/officeDocument/2006/relationships/hyperlink" Target="https://masterplan.com/courses/was-ist-uberhaupt-eine-ki" TargetMode="External"/><Relationship Id="rId34" Type="http://schemas.openxmlformats.org/officeDocument/2006/relationships/hyperlink" Target="https://masterplan.com/courses/kunstliche-intelligenz-chancen-und-potenziale" TargetMode="External"/><Relationship Id="rId619" Type="http://schemas.openxmlformats.org/officeDocument/2006/relationships/hyperlink" Target="http://readitfor.me" TargetMode="External"/><Relationship Id="rId618" Type="http://schemas.openxmlformats.org/officeDocument/2006/relationships/hyperlink" Target="https://masterplan.com/courses/arbeitsschutz-ergonomie" TargetMode="External"/><Relationship Id="rId739" Type="http://schemas.openxmlformats.org/officeDocument/2006/relationships/hyperlink" Target="https://masterplan.com/courses/conversion-rate-optimierung-expert" TargetMode="External"/><Relationship Id="rId613" Type="http://schemas.openxmlformats.org/officeDocument/2006/relationships/hyperlink" Target="https://masterplan.com/courses/office365-word-basics" TargetMode="External"/><Relationship Id="rId734" Type="http://schemas.openxmlformats.org/officeDocument/2006/relationships/hyperlink" Target="https://masterplan.com/courses/online-payment" TargetMode="External"/><Relationship Id="rId612" Type="http://schemas.openxmlformats.org/officeDocument/2006/relationships/hyperlink" Target="https://masterplan.com/courses/office-365-word-advanced1" TargetMode="External"/><Relationship Id="rId733" Type="http://schemas.openxmlformats.org/officeDocument/2006/relationships/hyperlink" Target="https://masterplan.com/courses/innovationsmanagement" TargetMode="External"/><Relationship Id="rId611" Type="http://schemas.openxmlformats.org/officeDocument/2006/relationships/hyperlink" Target="https://masterplan.com/courses/office-365-word-advanced2" TargetMode="External"/><Relationship Id="rId732" Type="http://schemas.openxmlformats.org/officeDocument/2006/relationships/hyperlink" Target="https://masterplan.com/courses/recht-online-marketing" TargetMode="External"/><Relationship Id="rId610" Type="http://schemas.openxmlformats.org/officeDocument/2006/relationships/hyperlink" Target="https://masterplan.com/courses/designe-dein-training" TargetMode="External"/><Relationship Id="rId731" Type="http://schemas.openxmlformats.org/officeDocument/2006/relationships/hyperlink" Target="https://masterplan.com/courses/lean-product-management" TargetMode="External"/><Relationship Id="rId617" Type="http://schemas.openxmlformats.org/officeDocument/2006/relationships/hyperlink" Target="https://masterplan.com/courses/getting-into-the-mind-of-your-customer" TargetMode="External"/><Relationship Id="rId738" Type="http://schemas.openxmlformats.org/officeDocument/2006/relationships/hyperlink" Target="https://masterplan.com/courses/learning-culture" TargetMode="External"/><Relationship Id="rId616" Type="http://schemas.openxmlformats.org/officeDocument/2006/relationships/hyperlink" Target="http://readitfor.me" TargetMode="External"/><Relationship Id="rId737" Type="http://schemas.openxmlformats.org/officeDocument/2006/relationships/hyperlink" Target="https://masterplan.com/courses/conversion-rate-optimierung-beginner" TargetMode="External"/><Relationship Id="rId615" Type="http://schemas.openxmlformats.org/officeDocument/2006/relationships/hyperlink" Target="https://masterplan.com/courses/office365-excel-advanced-2" TargetMode="External"/><Relationship Id="rId736" Type="http://schemas.openxmlformats.org/officeDocument/2006/relationships/hyperlink" Target="https://masterplan.com/courses/conversion-rate-optimierung-advanced" TargetMode="External"/><Relationship Id="rId614" Type="http://schemas.openxmlformats.org/officeDocument/2006/relationships/hyperlink" Target="https://masterplan.com/courses/generation-z-at-work" TargetMode="External"/><Relationship Id="rId735" Type="http://schemas.openxmlformats.org/officeDocument/2006/relationships/hyperlink" Target="https://masterplan.com/courses/dsgvo" TargetMode="External"/><Relationship Id="rId37" Type="http://schemas.openxmlformats.org/officeDocument/2006/relationships/hyperlink" Target="https://masterplan.com/courses/souveranes-auftreten-durch-korpersprache" TargetMode="External"/><Relationship Id="rId36" Type="http://schemas.openxmlformats.org/officeDocument/2006/relationships/hyperlink" Target="https://masterplan.com/courses/einfuhrung-grundkurs-kunstliche-intelligenz" TargetMode="External"/><Relationship Id="rId39" Type="http://schemas.openxmlformats.org/officeDocument/2006/relationships/hyperlink" Target="https://masterplan.com/courses/kreativitat-digital" TargetMode="External"/><Relationship Id="rId38" Type="http://schemas.openxmlformats.org/officeDocument/2006/relationships/hyperlink" Target="https://masterplan.com/courses/die-kreative-toolbox" TargetMode="External"/><Relationship Id="rId730" Type="http://schemas.openxmlformats.org/officeDocument/2006/relationships/hyperlink" Target="https://masterplan.com/courses/ueberleitung-mindset-organisation" TargetMode="External"/><Relationship Id="rId20" Type="http://schemas.openxmlformats.org/officeDocument/2006/relationships/hyperlink" Target="https://masterplan.com/courses/agile-teamarbeit-iii-lean-start-up" TargetMode="External"/><Relationship Id="rId22" Type="http://schemas.openxmlformats.org/officeDocument/2006/relationships/hyperlink" Target="https://masterplan.com/courses/agile-teamarbeit-i-die-basics" TargetMode="External"/><Relationship Id="rId21" Type="http://schemas.openxmlformats.org/officeDocument/2006/relationships/hyperlink" Target="https://masterplan.com/courses/kommunikation-in-kritischen-situationen" TargetMode="External"/><Relationship Id="rId24" Type="http://schemas.openxmlformats.org/officeDocument/2006/relationships/hyperlink" Target="https://masterplan.com/courses/abschluss-grundkurs-kunstliche-intelligenz" TargetMode="External"/><Relationship Id="rId23" Type="http://schemas.openxmlformats.org/officeDocument/2006/relationships/hyperlink" Target="https://masterplan.com/courses/agile-teamarbeit-ii-scrum" TargetMode="External"/><Relationship Id="rId409" Type="http://schemas.openxmlformats.org/officeDocument/2006/relationships/hyperlink" Target="https://masterplan.com/courses/business-writing-3-tipps-fuer-ueberzeugende-inhalte" TargetMode="External"/><Relationship Id="rId404" Type="http://schemas.openxmlformats.org/officeDocument/2006/relationships/hyperlink" Target="https://masterplan.com/courses/circular-economy-das-unendliche-potenzial" TargetMode="External"/><Relationship Id="rId525" Type="http://schemas.openxmlformats.org/officeDocument/2006/relationships/hyperlink" Target="https://masterplan.com/courses/wie-unstimmigkeiten-produktivitaet-optimieren" TargetMode="External"/><Relationship Id="rId646" Type="http://schemas.openxmlformats.org/officeDocument/2006/relationships/hyperlink" Target="https://masterplan.com/courses/office365-onenote-basics" TargetMode="External"/><Relationship Id="rId403" Type="http://schemas.openxmlformats.org/officeDocument/2006/relationships/hyperlink" Target="https://masterplan.com/courses/positiv-beeinflussen-die-macht-der-manipulation" TargetMode="External"/><Relationship Id="rId524" Type="http://schemas.openxmlformats.org/officeDocument/2006/relationships/hyperlink" Target="https://masterplan.com/courses/du-fuehlst-dich-fehl-am-platz-das-hilft-dagegen" TargetMode="External"/><Relationship Id="rId645" Type="http://schemas.openxmlformats.org/officeDocument/2006/relationships/hyperlink" Target="https://masterplan.com/courses/office365-teams-basics" TargetMode="External"/><Relationship Id="rId402" Type="http://schemas.openxmlformats.org/officeDocument/2006/relationships/hyperlink" Target="https://masterplan.com/courses/erste-schritte-mit-zoom-ii-meetings-planen-und-umsetzen" TargetMode="External"/><Relationship Id="rId523" Type="http://schemas.openxmlformats.org/officeDocument/2006/relationships/hyperlink" Target="https://masterplan.com/courses/wie-fairness-unternehmen-optimiert" TargetMode="External"/><Relationship Id="rId644" Type="http://schemas.openxmlformats.org/officeDocument/2006/relationships/hyperlink" Target="https://masterplan.com/courses/partnerschaften-zwischen-startups-und-konzernen" TargetMode="External"/><Relationship Id="rId401" Type="http://schemas.openxmlformats.org/officeDocument/2006/relationships/hyperlink" Target="https://masterplan.com/courses/die-smart-methode-so-erreichst-du-deine-ziele" TargetMode="External"/><Relationship Id="rId522" Type="http://schemas.openxmlformats.org/officeDocument/2006/relationships/hyperlink" Target="https://masterplan.com/courses/schaue-beim-einstellen-ueber-den-tellerrand-hinaus" TargetMode="External"/><Relationship Id="rId643" Type="http://schemas.openxmlformats.org/officeDocument/2006/relationships/hyperlink" Target="https://masterplan.com/courses/nwx" TargetMode="External"/><Relationship Id="rId408" Type="http://schemas.openxmlformats.org/officeDocument/2006/relationships/hyperlink" Target="https://masterplan.com/courses/mit-webex-online-meetings-meistern-die-basics" TargetMode="External"/><Relationship Id="rId529" Type="http://schemas.openxmlformats.org/officeDocument/2006/relationships/hyperlink" Target="https://masterplan.com/courses/was-wir-aus-wissenschaft-und-kunst-lernen-koennen" TargetMode="External"/><Relationship Id="rId407" Type="http://schemas.openxmlformats.org/officeDocument/2006/relationships/hyperlink" Target="https://masterplan.com/courses/faktencheck-im-netz-diese-tricks-musst-du-kennen" TargetMode="External"/><Relationship Id="rId528" Type="http://schemas.openxmlformats.org/officeDocument/2006/relationships/hyperlink" Target="https://masterplan.com/courses/so-erkennst-du-irrefuehrende-statistiken" TargetMode="External"/><Relationship Id="rId649" Type="http://schemas.openxmlformats.org/officeDocument/2006/relationships/hyperlink" Target="https://masterplan.com/courses/receiving-feedback" TargetMode="External"/><Relationship Id="rId406" Type="http://schemas.openxmlformats.org/officeDocument/2006/relationships/hyperlink" Target="https://masterplan.com/courses/die-zukunft-der-digitalen-transformation" TargetMode="External"/><Relationship Id="rId527" Type="http://schemas.openxmlformats.org/officeDocument/2006/relationships/hyperlink" Target="https://masterplan.com/courses/fuenf-schritte-gegen-streit-am-arbeitsplatz" TargetMode="External"/><Relationship Id="rId648" Type="http://schemas.openxmlformats.org/officeDocument/2006/relationships/hyperlink" Target="https://masterplan.com/courses/emotional-agility" TargetMode="External"/><Relationship Id="rId405" Type="http://schemas.openxmlformats.org/officeDocument/2006/relationships/hyperlink" Target="https://masterplan.com/courses/teamwork-4-fehler-die-teams-nicht-machen-sollten" TargetMode="External"/><Relationship Id="rId526" Type="http://schemas.openxmlformats.org/officeDocument/2006/relationships/hyperlink" Target="https://masterplan.com/courses/mit-ehrlichkeit-und-empathie-besser-kommunizieren" TargetMode="External"/><Relationship Id="rId647" Type="http://schemas.openxmlformats.org/officeDocument/2006/relationships/hyperlink" Target="https://masterplan.com/courses/slack-practise" TargetMode="External"/><Relationship Id="rId26" Type="http://schemas.openxmlformats.org/officeDocument/2006/relationships/hyperlink" Target="https://masterplan.com/courses/chatgpt-als-digitaler-assistent" TargetMode="External"/><Relationship Id="rId25" Type="http://schemas.openxmlformats.org/officeDocument/2006/relationships/hyperlink" Target="https://masterplan.com/courses/ki-in-deinem-arbeitsalltag" TargetMode="External"/><Relationship Id="rId28" Type="http://schemas.openxmlformats.org/officeDocument/2006/relationships/hyperlink" Target="https://masterplan.com/courses/mp-shorts-large-language-model-training" TargetMode="External"/><Relationship Id="rId27" Type="http://schemas.openxmlformats.org/officeDocument/2006/relationships/hyperlink" Target="https://masterplan.com/courses/ki-gesellschaft-ethik-technologie" TargetMode="External"/><Relationship Id="rId400" Type="http://schemas.openxmlformats.org/officeDocument/2006/relationships/hyperlink" Target="https://masterplan.com/courses/das-einmaleins-des-content-marketing" TargetMode="External"/><Relationship Id="rId521" Type="http://schemas.openxmlformats.org/officeDocument/2006/relationships/hyperlink" Target="https://masterplan.com/courses/warum-gibt-es-so-wenige-weibliche-fuehrungskraefte" TargetMode="External"/><Relationship Id="rId642" Type="http://schemas.openxmlformats.org/officeDocument/2006/relationships/hyperlink" Target="https://masterplan.com/courses/digital-twins" TargetMode="External"/><Relationship Id="rId29" Type="http://schemas.openxmlformats.org/officeDocument/2006/relationships/hyperlink" Target="https://masterplan.com/courses/machine-learning-eine-einfuhrung" TargetMode="External"/><Relationship Id="rId520" Type="http://schemas.openxmlformats.org/officeDocument/2006/relationships/hyperlink" Target="https://masterplan.com/courses/schluss-mit-nettigkeiten" TargetMode="External"/><Relationship Id="rId641" Type="http://schemas.openxmlformats.org/officeDocument/2006/relationships/hyperlink" Target="https://masterplan.com/courses/questions-that-sell" TargetMode="External"/><Relationship Id="rId640" Type="http://schemas.openxmlformats.org/officeDocument/2006/relationships/hyperlink" Target="http://readitfor.me" TargetMode="External"/><Relationship Id="rId11" Type="http://schemas.openxmlformats.org/officeDocument/2006/relationships/hyperlink" Target="https://masterplan.com/courses/agile-teamarbeit-v-fuhrung" TargetMode="External"/><Relationship Id="rId10" Type="http://schemas.openxmlformats.org/officeDocument/2006/relationships/hyperlink" Target="https://masterplan.com/courses/mit-ki-prozesse-automatisieren" TargetMode="External"/><Relationship Id="rId13" Type="http://schemas.openxmlformats.org/officeDocument/2006/relationships/hyperlink" Target="https://masterplan.com/courses/copilot-fur-microsoft-365-die-ki-fur-microsoft-office" TargetMode="External"/><Relationship Id="rId12" Type="http://schemas.openxmlformats.org/officeDocument/2006/relationships/hyperlink" Target="https://masterplan.com/courses/mp-shorts-lateral-thinking" TargetMode="External"/><Relationship Id="rId519" Type="http://schemas.openxmlformats.org/officeDocument/2006/relationships/hyperlink" Target="https://masterplan.com/courses/wie-deine-groessten-kritiker-dir-helfen-koennen" TargetMode="External"/><Relationship Id="rId514" Type="http://schemas.openxmlformats.org/officeDocument/2006/relationships/hyperlink" Target="https://masterplan.com/courses/wie-man-fuer-sich-selbst-einsteht" TargetMode="External"/><Relationship Id="rId635" Type="http://schemas.openxmlformats.org/officeDocument/2006/relationships/hyperlink" Target="https://masterplan.com/courses/emotional-intelligence" TargetMode="External"/><Relationship Id="rId513" Type="http://schemas.openxmlformats.org/officeDocument/2006/relationships/hyperlink" Target="https://masterplan.com/courses/was-macht-gute-fuehrung-aus" TargetMode="External"/><Relationship Id="rId634" Type="http://schemas.openxmlformats.org/officeDocument/2006/relationships/hyperlink" Target="http://readitfor.me" TargetMode="External"/><Relationship Id="rId755" Type="http://schemas.openxmlformats.org/officeDocument/2006/relationships/drawing" Target="../drawings/drawing1.xml"/><Relationship Id="rId512" Type="http://schemas.openxmlformats.org/officeDocument/2006/relationships/hyperlink" Target="https://masterplan.com/courses/warum-ein-sponsor-so-wichtig-sein-kann" TargetMode="External"/><Relationship Id="rId633" Type="http://schemas.openxmlformats.org/officeDocument/2006/relationships/hyperlink" Target="https://masterplan.com/courses/office365-outlook-advanced" TargetMode="External"/><Relationship Id="rId754" Type="http://schemas.openxmlformats.org/officeDocument/2006/relationships/hyperlink" Target="https://masterplan.com/courses/irrtuemer-digitalisierung" TargetMode="External"/><Relationship Id="rId511" Type="http://schemas.openxmlformats.org/officeDocument/2006/relationships/hyperlink" Target="https://masterplan.com/courses/zoom-meetings-meistern-technische-tipps-tricks" TargetMode="External"/><Relationship Id="rId632" Type="http://schemas.openxmlformats.org/officeDocument/2006/relationships/hyperlink" Target="https://masterplan.com/courses/hr-im-wandel" TargetMode="External"/><Relationship Id="rId753" Type="http://schemas.openxmlformats.org/officeDocument/2006/relationships/hyperlink" Target="https://masterplan.com/courses/exponentielle-technologien" TargetMode="External"/><Relationship Id="rId518" Type="http://schemas.openxmlformats.org/officeDocument/2006/relationships/hyperlink" Target="https://masterplan.com/courses/so-klappt-es-mit-der-kollaborativen-fuehrung" TargetMode="External"/><Relationship Id="rId639" Type="http://schemas.openxmlformats.org/officeDocument/2006/relationships/hyperlink" Target="https://masterplan.com/courses/delegate-effectively" TargetMode="External"/><Relationship Id="rId517" Type="http://schemas.openxmlformats.org/officeDocument/2006/relationships/hyperlink" Target="https://masterplan.com/courses/gute-kommunikation-in-konversationen-und-konflikten" TargetMode="External"/><Relationship Id="rId638" Type="http://schemas.openxmlformats.org/officeDocument/2006/relationships/hyperlink" Target="https://masterplan.com/courses/how-to-win-friends" TargetMode="External"/><Relationship Id="rId516" Type="http://schemas.openxmlformats.org/officeDocument/2006/relationships/hyperlink" Target="https://masterplan.com/courses/wie-wir-zusammenarbeit-im-beruf-optimieren-koennen" TargetMode="External"/><Relationship Id="rId637" Type="http://schemas.openxmlformats.org/officeDocument/2006/relationships/hyperlink" Target="http://readitfor.me" TargetMode="External"/><Relationship Id="rId515" Type="http://schemas.openxmlformats.org/officeDocument/2006/relationships/hyperlink" Target="https://masterplan.com/courses/mit-wohlbefinden-zu-effizienterer-arbeit" TargetMode="External"/><Relationship Id="rId636" Type="http://schemas.openxmlformats.org/officeDocument/2006/relationships/hyperlink" Target="https://masterplan.com/courses/office365-outlook-basics" TargetMode="External"/><Relationship Id="rId757" Type="http://schemas.openxmlformats.org/officeDocument/2006/relationships/table" Target="../tables/table1.xml"/><Relationship Id="rId15" Type="http://schemas.openxmlformats.org/officeDocument/2006/relationships/hyperlink" Target="https://masterplan.com/courses/mp-shorts-konflikte-vermeiden-mit-der-limo-methode" TargetMode="External"/><Relationship Id="rId14" Type="http://schemas.openxmlformats.org/officeDocument/2006/relationships/hyperlink" Target="https://masterplan.com/courses/mp-shorts-der-kreativitatsmuskel" TargetMode="External"/><Relationship Id="rId17" Type="http://schemas.openxmlformats.org/officeDocument/2006/relationships/hyperlink" Target="https://masterplan.com/courses/dein-ki-toolkit" TargetMode="External"/><Relationship Id="rId16" Type="http://schemas.openxmlformats.org/officeDocument/2006/relationships/hyperlink" Target="https://masterplan.com/courses/agile-teamarbeit-iv-design-thinking" TargetMode="External"/><Relationship Id="rId19" Type="http://schemas.openxmlformats.org/officeDocument/2006/relationships/hyperlink" Target="https://masterplan.com/courses/das-kreative-gehirn" TargetMode="External"/><Relationship Id="rId510" Type="http://schemas.openxmlformats.org/officeDocument/2006/relationships/hyperlink" Target="https://masterplan.com/courses/in-zoom-meetings-optimal-aussehen-und-klingen" TargetMode="External"/><Relationship Id="rId631" Type="http://schemas.openxmlformats.org/officeDocument/2006/relationships/hyperlink" Target="https://masterplan.com/courses/office365-teams-advanced" TargetMode="External"/><Relationship Id="rId752" Type="http://schemas.openxmlformats.org/officeDocument/2006/relationships/hyperlink" Target="https://masterplan.com/courses/kollaboration" TargetMode="External"/><Relationship Id="rId18" Type="http://schemas.openxmlformats.org/officeDocument/2006/relationships/hyperlink" Target="https://masterplan.com/courses/mp-shorts-auf-feedback-reagieren-das-sara-modell" TargetMode="External"/><Relationship Id="rId630" Type="http://schemas.openxmlformats.org/officeDocument/2006/relationships/hyperlink" Target="https://masterplan.com/courses/office-365-teams-expert" TargetMode="External"/><Relationship Id="rId751" Type="http://schemas.openxmlformats.org/officeDocument/2006/relationships/hyperlink" Target="https://masterplan.com/courses/okr" TargetMode="External"/><Relationship Id="rId750" Type="http://schemas.openxmlformats.org/officeDocument/2006/relationships/hyperlink" Target="https://masterplan.com/courses/neue-technologien" TargetMode="External"/><Relationship Id="rId84" Type="http://schemas.openxmlformats.org/officeDocument/2006/relationships/hyperlink" Target="https://masterplan.com/courses/diversitat-im-einstellungsprozess" TargetMode="External"/><Relationship Id="rId83" Type="http://schemas.openxmlformats.org/officeDocument/2006/relationships/hyperlink" Target="https://masterplan.com/courses/verstehen-verhandeln-versohnen-emotionale-konflikte-meistern" TargetMode="External"/><Relationship Id="rId86" Type="http://schemas.openxmlformats.org/officeDocument/2006/relationships/hyperlink" Target="https://masterplan.com/courses/veranderung-als-chance" TargetMode="External"/><Relationship Id="rId85" Type="http://schemas.openxmlformats.org/officeDocument/2006/relationships/hyperlink" Target="https://masterplan.com/courses/diversitat-in-unternehmen-gezielt-fordern" TargetMode="External"/><Relationship Id="rId88" Type="http://schemas.openxmlformats.org/officeDocument/2006/relationships/hyperlink" Target="https://masterplan.com/courses/forderung-fur-den-erfolg-mitarbeitende-gezielt-schulen" TargetMode="External"/><Relationship Id="rId87" Type="http://schemas.openxmlformats.org/officeDocument/2006/relationships/hyperlink" Target="https://masterplan.com/courses/kreativitat-konzentration-adt-im-berufsleben-managen" TargetMode="External"/><Relationship Id="rId89" Type="http://schemas.openxmlformats.org/officeDocument/2006/relationships/hyperlink" Target="https://masterplan.com/courses/tech-adoption-von-der-herausforderung-zum-erfolg" TargetMode="External"/><Relationship Id="rId709" Type="http://schemas.openxmlformats.org/officeDocument/2006/relationships/hyperlink" Target="https://masterplan.com/courses/blockchain-fuer-einsteiger" TargetMode="External"/><Relationship Id="rId708" Type="http://schemas.openxmlformats.org/officeDocument/2006/relationships/hyperlink" Target="https://masterplan.com/courses/das-geheimnis-von-einhorn" TargetMode="External"/><Relationship Id="rId707" Type="http://schemas.openxmlformats.org/officeDocument/2006/relationships/hyperlink" Target="https://masterplan.com/courses/hackathon" TargetMode="External"/><Relationship Id="rId706" Type="http://schemas.openxmlformats.org/officeDocument/2006/relationships/hyperlink" Target="https://masterplan.com/courses/youtube-marketing" TargetMode="External"/><Relationship Id="rId80" Type="http://schemas.openxmlformats.org/officeDocument/2006/relationships/hyperlink" Target="https://masterplan.com/courses/5-fragen-1-ziel-strategisches-denken" TargetMode="External"/><Relationship Id="rId82" Type="http://schemas.openxmlformats.org/officeDocument/2006/relationships/hyperlink" Target="https://masterplan.com/courses/innovationsmotor-kreativitat-strategien-fur-den-weg-zum-erfolg" TargetMode="External"/><Relationship Id="rId81" Type="http://schemas.openxmlformats.org/officeDocument/2006/relationships/hyperlink" Target="https://masterplan.com/courses/bessere-entscheidungen-dank-ai" TargetMode="External"/><Relationship Id="rId701" Type="http://schemas.openxmlformats.org/officeDocument/2006/relationships/hyperlink" Target="https://masterplan.com/courses/cyber-security" TargetMode="External"/><Relationship Id="rId700" Type="http://schemas.openxmlformats.org/officeDocument/2006/relationships/hyperlink" Target="https://masterplan.com/courses/onlinehandel" TargetMode="External"/><Relationship Id="rId705" Type="http://schemas.openxmlformats.org/officeDocument/2006/relationships/hyperlink" Target="https://masterplan.com/courses/big-data-im-handel" TargetMode="External"/><Relationship Id="rId704" Type="http://schemas.openxmlformats.org/officeDocument/2006/relationships/hyperlink" Target="https://masterplan.com/courses/smarte-oekosysteme" TargetMode="External"/><Relationship Id="rId703" Type="http://schemas.openxmlformats.org/officeDocument/2006/relationships/hyperlink" Target="https://masterplan.com/courses/employer-branding" TargetMode="External"/><Relationship Id="rId702" Type="http://schemas.openxmlformats.org/officeDocument/2006/relationships/hyperlink" Target="https://masterplan.com/courses/blockchain-fur-fortgeschrittene" TargetMode="External"/><Relationship Id="rId73" Type="http://schemas.openxmlformats.org/officeDocument/2006/relationships/hyperlink" Target="https://masterplan.com/courses/mp-shorts-die-trident-methode" TargetMode="External"/><Relationship Id="rId72" Type="http://schemas.openxmlformats.org/officeDocument/2006/relationships/hyperlink" Target="https://masterplan.com/courses/erfolgsfaktor-kreativitat-strategien-und-methoden" TargetMode="External"/><Relationship Id="rId75" Type="http://schemas.openxmlformats.org/officeDocument/2006/relationships/hyperlink" Target="https://masterplan.com/courses/mp-shorts-der-morgen-macht-den-tag-tipps-aus-der-neurowissenschaft" TargetMode="External"/><Relationship Id="rId74" Type="http://schemas.openxmlformats.org/officeDocument/2006/relationships/hyperlink" Target="https://masterplan.com/courses/mp-shorts-der-ostrich-effekt" TargetMode="External"/><Relationship Id="rId77" Type="http://schemas.openxmlformats.org/officeDocument/2006/relationships/hyperlink" Target="https://masterplan.com/courses/entfalte-deine-produktivitat" TargetMode="External"/><Relationship Id="rId76" Type="http://schemas.openxmlformats.org/officeDocument/2006/relationships/hyperlink" Target="https://masterplan.com/courses/menschlichkeit-als-fuhrungstrategie" TargetMode="External"/><Relationship Id="rId79" Type="http://schemas.openxmlformats.org/officeDocument/2006/relationships/hyperlink" Target="https://masterplan.com/courses/mp-shorts-der-anwalt-des-teufels" TargetMode="External"/><Relationship Id="rId78" Type="http://schemas.openxmlformats.org/officeDocument/2006/relationships/hyperlink" Target="https://masterplan.com/courses/die-kunst-der-fuhrung-das-ungewohnte-meistern" TargetMode="External"/><Relationship Id="rId71" Type="http://schemas.openxmlformats.org/officeDocument/2006/relationships/hyperlink" Target="https://masterplan.com/courses/entfessle-deine-naturliche-kreativitat" TargetMode="External"/><Relationship Id="rId70" Type="http://schemas.openxmlformats.org/officeDocument/2006/relationships/hyperlink" Target="https://masterplan.com/courses/gib-hackern-fake-news-keine-chance-staying-safe-digitally" TargetMode="External"/><Relationship Id="rId62" Type="http://schemas.openxmlformats.org/officeDocument/2006/relationships/hyperlink" Target="https://masterplan.com/courses/diversity-inclusion-i-die-bedeutung-des-diversity-managements" TargetMode="External"/><Relationship Id="rId61" Type="http://schemas.openxmlformats.org/officeDocument/2006/relationships/hyperlink" Target="https://masterplan.com/courses/mp-shorts-die-spade-methode" TargetMode="External"/><Relationship Id="rId64" Type="http://schemas.openxmlformats.org/officeDocument/2006/relationships/hyperlink" Target="https://masterplan.com/courses/mp-shorts-die-vergleichsfalle" TargetMode="External"/><Relationship Id="rId63" Type="http://schemas.openxmlformats.org/officeDocument/2006/relationships/hyperlink" Target="https://masterplan.com/courses/diversity-inclusion-ii-die-kraft-kultureller-vielfalt" TargetMode="External"/><Relationship Id="rId66" Type="http://schemas.openxmlformats.org/officeDocument/2006/relationships/hyperlink" Target="https://masterplan.com/courses/mp-shorts-die-better-than-nothing-strategie" TargetMode="External"/><Relationship Id="rId65" Type="http://schemas.openxmlformats.org/officeDocument/2006/relationships/hyperlink" Target="https://masterplan.com/courses/arbeitsweisen-andern-worauf-kannst-du-verzichten" TargetMode="External"/><Relationship Id="rId68" Type="http://schemas.openxmlformats.org/officeDocument/2006/relationships/hyperlink" Target="https://masterplan.com/courses/mp-shorts-balanced-scorecard" TargetMode="External"/><Relationship Id="rId67" Type="http://schemas.openxmlformats.org/officeDocument/2006/relationships/hyperlink" Target="https://masterplan.com/courses/meetings-gestalten-menschen-verbinden" TargetMode="External"/><Relationship Id="rId609" Type="http://schemas.openxmlformats.org/officeDocument/2006/relationships/hyperlink" Target="https://masterplan.com/courses/arbeitsschutz-infektionskrankheiten-verhindern" TargetMode="External"/><Relationship Id="rId608" Type="http://schemas.openxmlformats.org/officeDocument/2006/relationships/hyperlink" Target="https://masterplan.com/courses/arbeitsschutz-heben-tragen" TargetMode="External"/><Relationship Id="rId729" Type="http://schemas.openxmlformats.org/officeDocument/2006/relationships/hyperlink" Target="https://masterplan.com/courses/ux" TargetMode="External"/><Relationship Id="rId607" Type="http://schemas.openxmlformats.org/officeDocument/2006/relationships/hyperlink" Target="https://masterplan.com/courses/arbeitsschutz-unfaelle-vermeiden" TargetMode="External"/><Relationship Id="rId728" Type="http://schemas.openxmlformats.org/officeDocument/2006/relationships/hyperlink" Target="https://masterplan.com/courses/growth-mindset" TargetMode="External"/><Relationship Id="rId60" Type="http://schemas.openxmlformats.org/officeDocument/2006/relationships/hyperlink" Target="https://masterplan.com/courses/kritisch-denken-intelligent-entscheiden-funf-praktische-tipps" TargetMode="External"/><Relationship Id="rId602" Type="http://schemas.openxmlformats.org/officeDocument/2006/relationships/hyperlink" Target="https://masterplan.com/courses/dsgvo-arbeitsplatz" TargetMode="External"/><Relationship Id="rId723" Type="http://schemas.openxmlformats.org/officeDocument/2006/relationships/hyperlink" Target="https://masterplan.com/courses/soziale-plattformen" TargetMode="External"/><Relationship Id="rId601" Type="http://schemas.openxmlformats.org/officeDocument/2006/relationships/hyperlink" Target="https://masterplan.com/courses/office-365-powerpoint-advanced1" TargetMode="External"/><Relationship Id="rId722" Type="http://schemas.openxmlformats.org/officeDocument/2006/relationships/hyperlink" Target="https://masterplan.com/courses/mvp" TargetMode="External"/><Relationship Id="rId600" Type="http://schemas.openxmlformats.org/officeDocument/2006/relationships/hyperlink" Target="https://masterplan.com/courses/online-meetings" TargetMode="External"/><Relationship Id="rId721" Type="http://schemas.openxmlformats.org/officeDocument/2006/relationships/hyperlink" Target="https://masterplan.com/courses/kommunikation-digitalisierung" TargetMode="External"/><Relationship Id="rId720" Type="http://schemas.openxmlformats.org/officeDocument/2006/relationships/hyperlink" Target="https://masterplan.com/courses/digital-analytics" TargetMode="External"/><Relationship Id="rId606" Type="http://schemas.openxmlformats.org/officeDocument/2006/relationships/hyperlink" Target="https://masterplan.com/courses/arbeitsschutz-not-brandfall" TargetMode="External"/><Relationship Id="rId727" Type="http://schemas.openxmlformats.org/officeDocument/2006/relationships/hyperlink" Target="https://masterplan.com/courses/funnel" TargetMode="External"/><Relationship Id="rId605" Type="http://schemas.openxmlformats.org/officeDocument/2006/relationships/hyperlink" Target="https://masterplan.com/courses/arbeitsschutz-verhalten-bei-unfaellen" TargetMode="External"/><Relationship Id="rId726" Type="http://schemas.openxmlformats.org/officeDocument/2006/relationships/hyperlink" Target="https://masterplan.com/courses/crm" TargetMode="External"/><Relationship Id="rId604" Type="http://schemas.openxmlformats.org/officeDocument/2006/relationships/hyperlink" Target="https://masterplan.com/courses/situational-leadership" TargetMode="External"/><Relationship Id="rId725" Type="http://schemas.openxmlformats.org/officeDocument/2006/relationships/hyperlink" Target="https://masterplan.com/courses/daten-2" TargetMode="External"/><Relationship Id="rId603" Type="http://schemas.openxmlformats.org/officeDocument/2006/relationships/hyperlink" Target="https://masterplan.com/courses/office-365-powerpoint-basics" TargetMode="External"/><Relationship Id="rId724" Type="http://schemas.openxmlformats.org/officeDocument/2006/relationships/hyperlink" Target="https://masterplan.com/courses/seo" TargetMode="External"/><Relationship Id="rId69" Type="http://schemas.openxmlformats.org/officeDocument/2006/relationships/hyperlink" Target="https://masterplan.com/courses/weniger-schreiben-mehr-sagen" TargetMode="External"/><Relationship Id="rId51" Type="http://schemas.openxmlformats.org/officeDocument/2006/relationships/hyperlink" Target="https://masterplan.com/courses/mp-shorts-der-acquiescence-bias-in-umfragen" TargetMode="External"/><Relationship Id="rId50" Type="http://schemas.openxmlformats.org/officeDocument/2006/relationships/hyperlink" Target="https://masterplan.com/courses/interkulturelle-kompetenz-i-kultur-verstehen" TargetMode="External"/><Relationship Id="rId53" Type="http://schemas.openxmlformats.org/officeDocument/2006/relationships/hyperlink" Target="https://masterplan.com/courses/diversity-inclusion-iv-frauen-in-fuhrung-und-vorstand" TargetMode="External"/><Relationship Id="rId52" Type="http://schemas.openxmlformats.org/officeDocument/2006/relationships/hyperlink" Target="https://masterplan.com/courses/innehalten-verstehen-mit-slow-wirkungsvoll-kommunizieren" TargetMode="External"/><Relationship Id="rId55" Type="http://schemas.openxmlformats.org/officeDocument/2006/relationships/hyperlink" Target="https://masterplan.com/courses/data-products-daten-optimal-nutzen" TargetMode="External"/><Relationship Id="rId54" Type="http://schemas.openxmlformats.org/officeDocument/2006/relationships/hyperlink" Target="https://masterplan.com/courses/die-sokratische-methode-zielgerichtet-kritisch-nachgedacht" TargetMode="External"/><Relationship Id="rId57" Type="http://schemas.openxmlformats.org/officeDocument/2006/relationships/hyperlink" Target="https://masterplan.com/courses/ein-blick-uber-den-tellerrand-das-geheimnis-neuer-ideen" TargetMode="External"/><Relationship Id="rId56" Type="http://schemas.openxmlformats.org/officeDocument/2006/relationships/hyperlink" Target="https://masterplan.com/courses/diversity-inclusion-iii-bewusste-kommunikation-im-team" TargetMode="External"/><Relationship Id="rId719" Type="http://schemas.openxmlformats.org/officeDocument/2006/relationships/hyperlink" Target="https://masterplan.com/courses/kursende" TargetMode="External"/><Relationship Id="rId718" Type="http://schemas.openxmlformats.org/officeDocument/2006/relationships/hyperlink" Target="https://masterplan.com/courses/coding" TargetMode="External"/><Relationship Id="rId717" Type="http://schemas.openxmlformats.org/officeDocument/2006/relationships/hyperlink" Target="https://masterplan.com/courses/it-sicherheit" TargetMode="External"/><Relationship Id="rId712" Type="http://schemas.openxmlformats.org/officeDocument/2006/relationships/hyperlink" Target="https://masterplan.com/courses/compliance" TargetMode="External"/><Relationship Id="rId711" Type="http://schemas.openxmlformats.org/officeDocument/2006/relationships/hyperlink" Target="https://masterplan.com/courses/net-promoter-score" TargetMode="External"/><Relationship Id="rId710" Type="http://schemas.openxmlformats.org/officeDocument/2006/relationships/hyperlink" Target="https://masterplan.com/courses/360-grad-videos" TargetMode="External"/><Relationship Id="rId716" Type="http://schemas.openxmlformats.org/officeDocument/2006/relationships/hyperlink" Target="https://masterplan.com/courses/digitales-marketing" TargetMode="External"/><Relationship Id="rId715" Type="http://schemas.openxmlformats.org/officeDocument/2006/relationships/hyperlink" Target="https://masterplan.com/courses/datenschutz" TargetMode="External"/><Relationship Id="rId714" Type="http://schemas.openxmlformats.org/officeDocument/2006/relationships/hyperlink" Target="https://masterplan.com/courses/das-social-media-geheimnis-von-true-fruits" TargetMode="External"/><Relationship Id="rId713" Type="http://schemas.openxmlformats.org/officeDocument/2006/relationships/hyperlink" Target="https://masterplan.com/courses/digitale-geschaeftsmodelle" TargetMode="External"/><Relationship Id="rId59" Type="http://schemas.openxmlformats.org/officeDocument/2006/relationships/hyperlink" Target="https://masterplan.com/courses/mp-shorts-die-leaf-methode" TargetMode="External"/><Relationship Id="rId58" Type="http://schemas.openxmlformats.org/officeDocument/2006/relationships/hyperlink" Target="https://masterplan.com/courses/von-potential-zu-performance-mitarbeitende-fordern-fuhren" TargetMode="External"/><Relationship Id="rId590" Type="http://schemas.openxmlformats.org/officeDocument/2006/relationships/hyperlink" Target="https://masterplan.com/courses/innovation-als-unternehmenskultur" TargetMode="External"/><Relationship Id="rId107" Type="http://schemas.openxmlformats.org/officeDocument/2006/relationships/hyperlink" Target="https://masterplan.com/courses/yoga-im-buro-eine-einfache-routine-fur-mehr-gesundheit" TargetMode="External"/><Relationship Id="rId228" Type="http://schemas.openxmlformats.org/officeDocument/2006/relationships/hyperlink" Target="https://masterplan.com/courses/kryptowaehrungen-entschluesselt" TargetMode="External"/><Relationship Id="rId349" Type="http://schemas.openxmlformats.org/officeDocument/2006/relationships/hyperlink" Target="https://masterplan.com/courses/schluss-mit-schockstarre-gestalte-deinen-markt-aktiv-mit" TargetMode="External"/><Relationship Id="rId106" Type="http://schemas.openxmlformats.org/officeDocument/2006/relationships/hyperlink" Target="https://masterplan.com/courses/gesunder-rucken-gesunder-nacken-so-lost-du-verspannungen" TargetMode="External"/><Relationship Id="rId227" Type="http://schemas.openxmlformats.org/officeDocument/2006/relationships/hyperlink" Target="https://masterplan.com/courses/mp-shorts-theory-of-constraints" TargetMode="External"/><Relationship Id="rId348" Type="http://schemas.openxmlformats.org/officeDocument/2006/relationships/hyperlink" Target="https://masterplan.com/courses/rosige-aussichten-dein-unternehmen-im-globalen-wettbewerb" TargetMode="External"/><Relationship Id="rId469" Type="http://schemas.openxmlformats.org/officeDocument/2006/relationships/hyperlink" Target="https://masterplan.com/courses/mach-deine-marke-richtig-bekannt" TargetMode="External"/><Relationship Id="rId105" Type="http://schemas.openxmlformats.org/officeDocument/2006/relationships/hyperlink" Target="https://masterplan.com/courses/emotionale-intelligenz-selbstmanagement" TargetMode="External"/><Relationship Id="rId226" Type="http://schemas.openxmlformats.org/officeDocument/2006/relationships/hyperlink" Target="https://masterplan.com/courses/mp-shorts-der-j-kurven-effekt" TargetMode="External"/><Relationship Id="rId347" Type="http://schemas.openxmlformats.org/officeDocument/2006/relationships/hyperlink" Target="https://masterplan.com/courses/wirtschaft-macht-und-politik-krisenmanagement-im-unternehmen" TargetMode="External"/><Relationship Id="rId468" Type="http://schemas.openxmlformats.org/officeDocument/2006/relationships/hyperlink" Target="https://masterplan.com/courses/marketing-mit-analytics-aufs-naechste-level-heben" TargetMode="External"/><Relationship Id="rId589" Type="http://schemas.openxmlformats.org/officeDocument/2006/relationships/hyperlink" Target="https://masterplan.com/courses/produktivitaet-was-effiziente-teams-ausmacht" TargetMode="External"/><Relationship Id="rId104" Type="http://schemas.openxmlformats.org/officeDocument/2006/relationships/hyperlink" Target="https://masterplan.com/courses/dein-karriereboost-taktisch-zur-neuen-jobposition" TargetMode="External"/><Relationship Id="rId225" Type="http://schemas.openxmlformats.org/officeDocument/2006/relationships/hyperlink" Target="https://masterplan.com/courses/mp-shorts-status-quo-bias" TargetMode="External"/><Relationship Id="rId346" Type="http://schemas.openxmlformats.org/officeDocument/2006/relationships/hyperlink" Target="https://masterplan.com/courses/einfuehrung-in-data-science-i-data-science-ist-sexy" TargetMode="External"/><Relationship Id="rId467" Type="http://schemas.openxmlformats.org/officeDocument/2006/relationships/hyperlink" Target="https://masterplan.com/courses/google-workspace-praesentationen" TargetMode="External"/><Relationship Id="rId588" Type="http://schemas.openxmlformats.org/officeDocument/2006/relationships/hyperlink" Target="https://masterplan.com/courses/feedback-als-fuehrungskompetenz" TargetMode="External"/><Relationship Id="rId109" Type="http://schemas.openxmlformats.org/officeDocument/2006/relationships/hyperlink" Target="https://masterplan.com/courses/wie-man-im-beruf-unterstutzung-gewinnt-und-menschen-beeinflusst" TargetMode="External"/><Relationship Id="rId108" Type="http://schemas.openxmlformats.org/officeDocument/2006/relationships/hyperlink" Target="https://masterplan.com/courses/fit-flexibel-stretching-ubungen-fur-jeden-tag" TargetMode="External"/><Relationship Id="rId229" Type="http://schemas.openxmlformats.org/officeDocument/2006/relationships/hyperlink" Target="https://masterplan.com/courses/auf-den-punkt-das-deutsche-steuersystem" TargetMode="External"/><Relationship Id="rId220" Type="http://schemas.openxmlformats.org/officeDocument/2006/relationships/hyperlink" Target="https://masterplan.com/courses/mit-simplen-schritten-zur-finanziellen-sicherheit" TargetMode="External"/><Relationship Id="rId341" Type="http://schemas.openxmlformats.org/officeDocument/2006/relationships/hyperlink" Target="https://masterplan.com/courses/inclusive-leadership-ii-stark-durch-inklusion" TargetMode="External"/><Relationship Id="rId462" Type="http://schemas.openxmlformats.org/officeDocument/2006/relationships/hyperlink" Target="https://masterplan.com/courses/scrum-academy-scrum-grundlagen" TargetMode="External"/><Relationship Id="rId583" Type="http://schemas.openxmlformats.org/officeDocument/2006/relationships/hyperlink" Target="https://masterplan.com/courses/verstehen-und-begeistern" TargetMode="External"/><Relationship Id="rId340" Type="http://schemas.openxmlformats.org/officeDocument/2006/relationships/hyperlink" Target="https://masterplan.com/courses/einfuehrung-in-data-science-iii-mit-data-storytelling-zum-erfolg" TargetMode="External"/><Relationship Id="rId461" Type="http://schemas.openxmlformats.org/officeDocument/2006/relationships/hyperlink" Target="https://masterplan.com/courses/google-workspace-meet" TargetMode="External"/><Relationship Id="rId582" Type="http://schemas.openxmlformats.org/officeDocument/2006/relationships/hyperlink" Target="https://masterplan.com/courses/frauen-im-unternehmen" TargetMode="External"/><Relationship Id="rId460" Type="http://schemas.openxmlformats.org/officeDocument/2006/relationships/hyperlink" Target="https://masterplan.com/courses/google-workspace-gmail" TargetMode="External"/><Relationship Id="rId581" Type="http://schemas.openxmlformats.org/officeDocument/2006/relationships/hyperlink" Target="https://masterplan.com/courses/unterschiede-ueberwinden-konflikte-loesen" TargetMode="External"/><Relationship Id="rId580" Type="http://schemas.openxmlformats.org/officeDocument/2006/relationships/hyperlink" Target="https://masterplan.com/courses/stressfrei-zum-erfolg" TargetMode="External"/><Relationship Id="rId103" Type="http://schemas.openxmlformats.org/officeDocument/2006/relationships/hyperlink" Target="https://masterplan.com/courses/emotionale-intelligenz-social-awareness" TargetMode="External"/><Relationship Id="rId224" Type="http://schemas.openxmlformats.org/officeDocument/2006/relationships/hyperlink" Target="https://masterplan.com/courses/mp-shorts-multitasking" TargetMode="External"/><Relationship Id="rId345" Type="http://schemas.openxmlformats.org/officeDocument/2006/relationships/hyperlink" Target="http://datalab.cc" TargetMode="External"/><Relationship Id="rId466" Type="http://schemas.openxmlformats.org/officeDocument/2006/relationships/hyperlink" Target="https://masterplan.com/courses/google-workspace-docs" TargetMode="External"/><Relationship Id="rId587" Type="http://schemas.openxmlformats.org/officeDocument/2006/relationships/hyperlink" Target="https://masterplan.com/courses/gewohnheitssache-gesunde-verhaltensweisen-im-alltag" TargetMode="External"/><Relationship Id="rId102" Type="http://schemas.openxmlformats.org/officeDocument/2006/relationships/hyperlink" Target="https://masterplan.com/courses/so-gelingen-dir-performance-reviews" TargetMode="External"/><Relationship Id="rId223" Type="http://schemas.openxmlformats.org/officeDocument/2006/relationships/hyperlink" Target="https://masterplan.com/courses/mp-shorts-das-parkinsonsche-gesetz" TargetMode="External"/><Relationship Id="rId344" Type="http://schemas.openxmlformats.org/officeDocument/2006/relationships/hyperlink" Target="https://masterplan.com/courses/inclusive-leadership-i-es-ist-zeit-fuer-mehr-diversitaet" TargetMode="External"/><Relationship Id="rId465" Type="http://schemas.openxmlformats.org/officeDocument/2006/relationships/hyperlink" Target="https://masterplan.com/courses/google-workspace-tabellen" TargetMode="External"/><Relationship Id="rId586" Type="http://schemas.openxmlformats.org/officeDocument/2006/relationships/hyperlink" Target="https://masterplan.com/courses/office-365-zusammenarbeit" TargetMode="External"/><Relationship Id="rId101" Type="http://schemas.openxmlformats.org/officeDocument/2006/relationships/hyperlink" Target="https://masterplan.com/courses/selbstsabotage-im-team-ursachen-und-losungen" TargetMode="External"/><Relationship Id="rId222" Type="http://schemas.openxmlformats.org/officeDocument/2006/relationships/hyperlink" Target="https://masterplan.com/courses/mp-shorts-das-pareto-prinzip" TargetMode="External"/><Relationship Id="rId343" Type="http://schemas.openxmlformats.org/officeDocument/2006/relationships/hyperlink" Target="https://masterplan.com/courses/unternehmenskultur-und-soziale-verantwortung" TargetMode="External"/><Relationship Id="rId464" Type="http://schemas.openxmlformats.org/officeDocument/2006/relationships/hyperlink" Target="https://masterplan.com/courses/google-workspace-kalender" TargetMode="External"/><Relationship Id="rId585" Type="http://schemas.openxmlformats.org/officeDocument/2006/relationships/hyperlink" Target="https://masterplan.com/courses/smarte-arbeit-statt-harter-arbeit" TargetMode="External"/><Relationship Id="rId100" Type="http://schemas.openxmlformats.org/officeDocument/2006/relationships/hyperlink" Target="https://masterplan.com/courses/emotionale-intelligenz-beziehungsmanagement" TargetMode="External"/><Relationship Id="rId221" Type="http://schemas.openxmlformats.org/officeDocument/2006/relationships/hyperlink" Target="https://masterplan.com/courses/so-schuetzt-du-dich-vor-betrug-im-netz" TargetMode="External"/><Relationship Id="rId342" Type="http://schemas.openxmlformats.org/officeDocument/2006/relationships/hyperlink" Target="https://masterplan.com/courses/tech-updates-july-i" TargetMode="External"/><Relationship Id="rId463" Type="http://schemas.openxmlformats.org/officeDocument/2006/relationships/hyperlink" Target="https://masterplan.com/courses/scrum-academy-agile-grundlagen" TargetMode="External"/><Relationship Id="rId584" Type="http://schemas.openxmlformats.org/officeDocument/2006/relationships/hyperlink" Target="https://masterplan.com/courses/vertrauen-kultivieren-und-mitarbeiter-begeistern" TargetMode="External"/><Relationship Id="rId217" Type="http://schemas.openxmlformats.org/officeDocument/2006/relationships/hyperlink" Target="https://masterplan.com/courses/mp-shorts-unfck-sales-motivation" TargetMode="External"/><Relationship Id="rId338" Type="http://schemas.openxmlformats.org/officeDocument/2006/relationships/hyperlink" Target="https://masterplan.com/courses/einfuehrung-in-data-science-ii-top-skills-fuer-data-scientists" TargetMode="External"/><Relationship Id="rId459" Type="http://schemas.openxmlformats.org/officeDocument/2006/relationships/hyperlink" Target="https://masterplan.com/courses/google-workspace-drive" TargetMode="External"/><Relationship Id="rId216" Type="http://schemas.openxmlformats.org/officeDocument/2006/relationships/hyperlink" Target="https://masterplan.com/courses/mp-shorts-unfck-sales-mentalkonten" TargetMode="External"/><Relationship Id="rId337" Type="http://schemas.openxmlformats.org/officeDocument/2006/relationships/hyperlink" Target="http://datalab.cc" TargetMode="External"/><Relationship Id="rId458" Type="http://schemas.openxmlformats.org/officeDocument/2006/relationships/hyperlink" Target="https://masterplan.com/courses/den-richtigen-vertriebsansatz-finden" TargetMode="External"/><Relationship Id="rId579" Type="http://schemas.openxmlformats.org/officeDocument/2006/relationships/hyperlink" Target="https://masterplan.com/courses/komplexitaet-managen-buerokratie-reduzieren" TargetMode="External"/><Relationship Id="rId215" Type="http://schemas.openxmlformats.org/officeDocument/2006/relationships/hyperlink" Target="https://masterplan.com/courses/mp-shorts-unfck-sales-kaltakquise" TargetMode="External"/><Relationship Id="rId336" Type="http://schemas.openxmlformats.org/officeDocument/2006/relationships/hyperlink" Target="https://masterplan.com/courses/technologie-transparenz-vertrauen-banken-im-wandel" TargetMode="External"/><Relationship Id="rId457" Type="http://schemas.openxmlformats.org/officeDocument/2006/relationships/hyperlink" Target="https://masterplan.com/courses/tipps-fuer-den-vertriebsalltag" TargetMode="External"/><Relationship Id="rId578" Type="http://schemas.openxmlformats.org/officeDocument/2006/relationships/hyperlink" Target="https://masterplan.com/courses/social-media-strategisch-nutzen" TargetMode="External"/><Relationship Id="rId699" Type="http://schemas.openxmlformats.org/officeDocument/2006/relationships/hyperlink" Target="https://masterplan.com/courses/xing" TargetMode="External"/><Relationship Id="rId214" Type="http://schemas.openxmlformats.org/officeDocument/2006/relationships/hyperlink" Target="https://masterplan.com/courses/von-viator-bookingcom-und-co-der-kampf-um-den-tourismus" TargetMode="External"/><Relationship Id="rId335" Type="http://schemas.openxmlformats.org/officeDocument/2006/relationships/hyperlink" Target="https://masterplan.com/courses/closing-skill-gap" TargetMode="External"/><Relationship Id="rId456" Type="http://schemas.openxmlformats.org/officeDocument/2006/relationships/hyperlink" Target="https://masterplan.com/courses/vertrieblerinnen-finden-und-entwickeln" TargetMode="External"/><Relationship Id="rId577" Type="http://schemas.openxmlformats.org/officeDocument/2006/relationships/hyperlink" Target="https://masterplan.com/courses/schwierige-gespraeche-fuehren" TargetMode="External"/><Relationship Id="rId698" Type="http://schemas.openxmlformats.org/officeDocument/2006/relationships/hyperlink" Target="https://masterplan.com/courses/candidate-experience" TargetMode="External"/><Relationship Id="rId219" Type="http://schemas.openxmlformats.org/officeDocument/2006/relationships/hyperlink" Target="https://masterplan.com/courses/was-ist-ein-solution-architect" TargetMode="External"/><Relationship Id="rId218" Type="http://schemas.openxmlformats.org/officeDocument/2006/relationships/hyperlink" Target="https://masterplan.com/courses/dynamic-pricing-einfach-erklaert" TargetMode="External"/><Relationship Id="rId339" Type="http://schemas.openxmlformats.org/officeDocument/2006/relationships/hyperlink" Target="http://datalab.cc" TargetMode="External"/><Relationship Id="rId330" Type="http://schemas.openxmlformats.org/officeDocument/2006/relationships/hyperlink" Target="https://masterplan.com/courses/tech-updates-august-i" TargetMode="External"/><Relationship Id="rId451" Type="http://schemas.openxmlformats.org/officeDocument/2006/relationships/hyperlink" Target="https://masterplan.com/courses/sales-impulse" TargetMode="External"/><Relationship Id="rId572" Type="http://schemas.openxmlformats.org/officeDocument/2006/relationships/hyperlink" Target="https://masterplan.com/courses/die-vier-groessten-engagementkiller" TargetMode="External"/><Relationship Id="rId693" Type="http://schemas.openxmlformats.org/officeDocument/2006/relationships/hyperlink" Target="https://masterplan.com/courses/vr-und-ar" TargetMode="External"/><Relationship Id="rId450" Type="http://schemas.openxmlformats.org/officeDocument/2006/relationships/hyperlink" Target="https://masterplan.com/courses/remote-arbeiten-und-fuehren" TargetMode="External"/><Relationship Id="rId571" Type="http://schemas.openxmlformats.org/officeDocument/2006/relationships/hyperlink" Target="https://masterplan.com/courses/mitarbeitende-nach-scheitern-aufrichten" TargetMode="External"/><Relationship Id="rId692" Type="http://schemas.openxmlformats.org/officeDocument/2006/relationships/hyperlink" Target="https://masterplan.com/courses/big-data" TargetMode="External"/><Relationship Id="rId570" Type="http://schemas.openxmlformats.org/officeDocument/2006/relationships/hyperlink" Target="https://masterplan.com/courses/verhalten-aendern" TargetMode="External"/><Relationship Id="rId691" Type="http://schemas.openxmlformats.org/officeDocument/2006/relationships/hyperlink" Target="https://masterplan.com/courses/bits-and-pretzels-18" TargetMode="External"/><Relationship Id="rId690" Type="http://schemas.openxmlformats.org/officeDocument/2006/relationships/hyperlink" Target="https://masterplan.com/courses/dmexco-18" TargetMode="External"/><Relationship Id="rId213" Type="http://schemas.openxmlformats.org/officeDocument/2006/relationships/hyperlink" Target="https://masterplan.com/courses/daten-und-analytik-einfach-erklaert" TargetMode="External"/><Relationship Id="rId334" Type="http://schemas.openxmlformats.org/officeDocument/2006/relationships/hyperlink" Target="https://masterplan.com/courses/9-tipps-fur-eine-erfolgreiche-lernkultur" TargetMode="External"/><Relationship Id="rId455" Type="http://schemas.openxmlformats.org/officeDocument/2006/relationships/hyperlink" Target="https://masterplan.com/courses/fuenf-grundlagen-fuer-erfolgreiches-seo" TargetMode="External"/><Relationship Id="rId576" Type="http://schemas.openxmlformats.org/officeDocument/2006/relationships/hyperlink" Target="https://masterplan.com/courses/gespraeche-ueberzeugend-fuehren" TargetMode="External"/><Relationship Id="rId697" Type="http://schemas.openxmlformats.org/officeDocument/2006/relationships/hyperlink" Target="https://masterplan.com/courses/zukunft-der-mobilitaet" TargetMode="External"/><Relationship Id="rId212" Type="http://schemas.openxmlformats.org/officeDocument/2006/relationships/hyperlink" Target="https://masterplan.com/courses/mp-shorts-psychologische-sicherheit" TargetMode="External"/><Relationship Id="rId333" Type="http://schemas.openxmlformats.org/officeDocument/2006/relationships/hyperlink" Target="https://masterplan.com/courses/12-schritte-zur-erfolgreichen-employer-branding-strategie" TargetMode="External"/><Relationship Id="rId454" Type="http://schemas.openxmlformats.org/officeDocument/2006/relationships/hyperlink" Target="https://masterplan.com/courses/seo-einfach-und-schnell-erklaert" TargetMode="External"/><Relationship Id="rId575" Type="http://schemas.openxmlformats.org/officeDocument/2006/relationships/hyperlink" Target="https://masterplan.com/courses/inklusion-fuer-alle" TargetMode="External"/><Relationship Id="rId696" Type="http://schemas.openxmlformats.org/officeDocument/2006/relationships/hyperlink" Target="https://masterplan.com/courses/facebook-advertising" TargetMode="External"/><Relationship Id="rId211" Type="http://schemas.openxmlformats.org/officeDocument/2006/relationships/hyperlink" Target="https://masterplan.com/courses/intrapreneurship-der-schluessel-zu-mehr-innovation" TargetMode="External"/><Relationship Id="rId332" Type="http://schemas.openxmlformats.org/officeDocument/2006/relationships/hyperlink" Target="https://masterplan.com/courses/tech-updates-july-ii" TargetMode="External"/><Relationship Id="rId453" Type="http://schemas.openxmlformats.org/officeDocument/2006/relationships/hyperlink" Target="https://masterplan.com/courses/seo-strategie-leicht-gemacht" TargetMode="External"/><Relationship Id="rId574" Type="http://schemas.openxmlformats.org/officeDocument/2006/relationships/hyperlink" Target="https://masterplan.com/courses/inklusivitaet-und-diversitaet-im-unternehmen" TargetMode="External"/><Relationship Id="rId695" Type="http://schemas.openxmlformats.org/officeDocument/2006/relationships/hyperlink" Target="https://masterplan.com/courses/pirate-summit-19" TargetMode="External"/><Relationship Id="rId210" Type="http://schemas.openxmlformats.org/officeDocument/2006/relationships/hyperlink" Target="https://masterplan.com/courses/mp-shorts-der-in-group-bias" TargetMode="External"/><Relationship Id="rId331" Type="http://schemas.openxmlformats.org/officeDocument/2006/relationships/hyperlink" Target="https://masterplan.com/courses/food-fraud-lebensmittelbetrug-auf-der-spur" TargetMode="External"/><Relationship Id="rId452" Type="http://schemas.openxmlformats.org/officeDocument/2006/relationships/hyperlink" Target="https://masterplan.com/courses/einen-gesunden-arbeitsplatz-schaffen" TargetMode="External"/><Relationship Id="rId573" Type="http://schemas.openxmlformats.org/officeDocument/2006/relationships/hyperlink" Target="https://masterplan.com/courses/die-illusion-der-transparenz" TargetMode="External"/><Relationship Id="rId694" Type="http://schemas.openxmlformats.org/officeDocument/2006/relationships/hyperlink" Target="https://masterplan.com/courses/self-und-online-assessment" TargetMode="External"/><Relationship Id="rId370" Type="http://schemas.openxmlformats.org/officeDocument/2006/relationships/hyperlink" Target="https://masterplan.com/courses/design-verstehen-i-eine-einfuehrung-in-design" TargetMode="External"/><Relationship Id="rId491" Type="http://schemas.openxmlformats.org/officeDocument/2006/relationships/hyperlink" Target="https://masterplan.com/courses/nachhaltigkeit-3-umweltschutz-und-gesellschaft" TargetMode="External"/><Relationship Id="rId490" Type="http://schemas.openxmlformats.org/officeDocument/2006/relationships/hyperlink" Target="https://masterplan.com/courses/nachhaltigkeit-5-auswirkungen-des-klimawandels" TargetMode="External"/><Relationship Id="rId129" Type="http://schemas.openxmlformats.org/officeDocument/2006/relationships/hyperlink" Target="https://masterplan.com/courses/office-eyes-ubungen-gegen-brennende-und-trockene-augen" TargetMode="External"/><Relationship Id="rId128" Type="http://schemas.openxmlformats.org/officeDocument/2006/relationships/hyperlink" Target="https://masterplan.com/courses/oberen-rucken-dehnen-3-ubungen-gegen-verspannungen" TargetMode="External"/><Relationship Id="rId249" Type="http://schemas.openxmlformats.org/officeDocument/2006/relationships/hyperlink" Target="https://masterplan.com/courses/mp-shorts-die-minto-pyramide" TargetMode="External"/><Relationship Id="rId127" Type="http://schemas.openxmlformats.org/officeDocument/2006/relationships/hyperlink" Target="https://masterplan.com/courses/aktive-pause-4-ubungen-fur-den-arbeitsplatz" TargetMode="External"/><Relationship Id="rId248" Type="http://schemas.openxmlformats.org/officeDocument/2006/relationships/hyperlink" Target="https://masterplan.com/courses/mp-shorts-der-framing-effekt" TargetMode="External"/><Relationship Id="rId369" Type="http://schemas.openxmlformats.org/officeDocument/2006/relationships/hyperlink" Target="https://masterplan.com/courses/design-verstehen-iv-design-und-nachhaltigkeit" TargetMode="External"/><Relationship Id="rId126" Type="http://schemas.openxmlformats.org/officeDocument/2006/relationships/hyperlink" Target="https://masterplan.com/courses/5-tipps-die-alle-unternehmen-und-arbeitssuchende-kennen-sollten" TargetMode="External"/><Relationship Id="rId247" Type="http://schemas.openxmlformats.org/officeDocument/2006/relationships/hyperlink" Target="https://masterplan.com/courses/mp-shorts-die-dreier-regel" TargetMode="External"/><Relationship Id="rId368" Type="http://schemas.openxmlformats.org/officeDocument/2006/relationships/hyperlink" Target="https://masterplan.com/courses/personalfuehrung-ii-strategische-planung" TargetMode="External"/><Relationship Id="rId489" Type="http://schemas.openxmlformats.org/officeDocument/2006/relationships/hyperlink" Target="https://masterplan.com/courses/nachhaltigkeit-1-den-klimawandel-verstehen" TargetMode="External"/><Relationship Id="rId121" Type="http://schemas.openxmlformats.org/officeDocument/2006/relationships/hyperlink" Target="https://masterplan.com/courses/grundlagen-der-datenkompetenz" TargetMode="External"/><Relationship Id="rId242" Type="http://schemas.openxmlformats.org/officeDocument/2006/relationships/hyperlink" Target="https://masterplan.com/courses/informationssicherheit-iso-27001" TargetMode="External"/><Relationship Id="rId363" Type="http://schemas.openxmlformats.org/officeDocument/2006/relationships/hyperlink" Target="https://masterplan.com/courses/design-verstehen-vii-innovation-durch-design" TargetMode="External"/><Relationship Id="rId484" Type="http://schemas.openxmlformats.org/officeDocument/2006/relationships/hyperlink" Target="https://masterplan.com/courses/erfolgreich-verhandeln-2-zielsetzung" TargetMode="External"/><Relationship Id="rId120" Type="http://schemas.openxmlformats.org/officeDocument/2006/relationships/hyperlink" Target="https://masterplan.com/courses/das-potenzial-emotional-intelligenter-teams" TargetMode="External"/><Relationship Id="rId241" Type="http://schemas.openxmlformats.org/officeDocument/2006/relationships/hyperlink" Target="https://masterplan.com/courses/recruiting-warum-du-eher-zeit-als-geld-investieren-solltest" TargetMode="External"/><Relationship Id="rId362" Type="http://schemas.openxmlformats.org/officeDocument/2006/relationships/hyperlink" Target="https://masterplan.com/courses/faq-mit-cios-it-vorstaende-geben-einblicke" TargetMode="External"/><Relationship Id="rId483" Type="http://schemas.openxmlformats.org/officeDocument/2006/relationships/hyperlink" Target="https://masterplan.com/courses/erfolgreich-verhandeln-3-verhandlungsstrategien" TargetMode="External"/><Relationship Id="rId240" Type="http://schemas.openxmlformats.org/officeDocument/2006/relationships/hyperlink" Target="https://masterplan.com/courses/mp-shorts-die-feynman-methode" TargetMode="External"/><Relationship Id="rId361" Type="http://schemas.openxmlformats.org/officeDocument/2006/relationships/hyperlink" Target="https://masterplan.com/courses/personalfuehrung-iii-kpis-und-performance" TargetMode="External"/><Relationship Id="rId482" Type="http://schemas.openxmlformats.org/officeDocument/2006/relationships/hyperlink" Target="https://masterplan.com/courses/erfolgreich-verhandeln-5-strategien-des-fbi" TargetMode="External"/><Relationship Id="rId360" Type="http://schemas.openxmlformats.org/officeDocument/2006/relationships/hyperlink" Target="https://masterplan.com/courses/merkmal-vorteil-die-ideale-formel-fuer-starkes-marketing" TargetMode="External"/><Relationship Id="rId481" Type="http://schemas.openxmlformats.org/officeDocument/2006/relationships/hyperlink" Target="https://masterplan.com/courses/erfolgreich-verhandeln-1-grundzuege" TargetMode="External"/><Relationship Id="rId125" Type="http://schemas.openxmlformats.org/officeDocument/2006/relationships/hyperlink" Target="https://masterplan.com/courses/wie-erfolgreiche-fuhrungskrafte-mit-unsicherheit-umgehen" TargetMode="External"/><Relationship Id="rId246" Type="http://schemas.openxmlformats.org/officeDocument/2006/relationships/hyperlink" Target="https://masterplan.com/courses/nachhaltige-geschaeftsmodelle-vi-unternehmen-in-einer-nachhaltigen-zukunft" TargetMode="External"/><Relationship Id="rId367" Type="http://schemas.openxmlformats.org/officeDocument/2006/relationships/hyperlink" Target="https://masterplan.com/courses/personalfuehrung-i-talentmanagement" TargetMode="External"/><Relationship Id="rId488" Type="http://schemas.openxmlformats.org/officeDocument/2006/relationships/hyperlink" Target="https://masterplan.com/courses/nachhaltigkeit-4-globale-nachhaltigkeitspolitik" TargetMode="External"/><Relationship Id="rId124" Type="http://schemas.openxmlformats.org/officeDocument/2006/relationships/hyperlink" Target="https://masterplan.com/courses/wie-reverse-mentoring-zu-besseren-fuhrungskraften-fuhrt" TargetMode="External"/><Relationship Id="rId245" Type="http://schemas.openxmlformats.org/officeDocument/2006/relationships/hyperlink" Target="https://masterplan.com/courses/nachhaltige-geschaeftsmodelle-v-strategien-und-organisation-fuer-mehr-nachhaltigkeit" TargetMode="External"/><Relationship Id="rId366" Type="http://schemas.openxmlformats.org/officeDocument/2006/relationships/hyperlink" Target="https://masterplan.com/courses/design-verstehen-vi-design-und-zusammenarbeit" TargetMode="External"/><Relationship Id="rId487" Type="http://schemas.openxmlformats.org/officeDocument/2006/relationships/hyperlink" Target="https://masterplan.com/courses/nachhaltigkeit-2-oekosysteme-und-umweltschutz" TargetMode="External"/><Relationship Id="rId123" Type="http://schemas.openxmlformats.org/officeDocument/2006/relationships/hyperlink" Target="https://masterplan.com/courses/pitch-perfekt-die-kunst-ideen-brillant-zu-prasentieren" TargetMode="External"/><Relationship Id="rId244" Type="http://schemas.openxmlformats.org/officeDocument/2006/relationships/hyperlink" Target="https://masterplan.com/courses/nachhaltige-geschaeftsmodelle-iv-soziale-innovation" TargetMode="External"/><Relationship Id="rId365" Type="http://schemas.openxmlformats.org/officeDocument/2006/relationships/hyperlink" Target="https://masterplan.com/courses/design-verstehen-v-design-und-industrie" TargetMode="External"/><Relationship Id="rId486" Type="http://schemas.openxmlformats.org/officeDocument/2006/relationships/hyperlink" Target="https://masterplan.com/courses/marketing-grundlagen-smart-planen" TargetMode="External"/><Relationship Id="rId122" Type="http://schemas.openxmlformats.org/officeDocument/2006/relationships/hyperlink" Target="https://masterplan.com/courses/cybersicherheit-fangt-bei-deinen-mitarbeitenden-an" TargetMode="External"/><Relationship Id="rId243" Type="http://schemas.openxmlformats.org/officeDocument/2006/relationships/hyperlink" Target="https://masterplan.com/courses/das-1x1-der-google-suche" TargetMode="External"/><Relationship Id="rId364" Type="http://schemas.openxmlformats.org/officeDocument/2006/relationships/hyperlink" Target="https://masterplan.com/courses/dein-projekt-dein-dream-team-erfolgreich-fuehren" TargetMode="External"/><Relationship Id="rId485" Type="http://schemas.openxmlformats.org/officeDocument/2006/relationships/hyperlink" Target="https://masterplan.com/courses/marketing-grundlagen-email-content-marketing" TargetMode="External"/><Relationship Id="rId95" Type="http://schemas.openxmlformats.org/officeDocument/2006/relationships/hyperlink" Target="https://masterplan.com/courses/full-body-express-dein-10-minuten-ganzkorperworkout" TargetMode="External"/><Relationship Id="rId94" Type="http://schemas.openxmlformats.org/officeDocument/2006/relationships/hyperlink" Target="https://masterplan.com/courses/dynamisches-sitzen-die-40-15-5-regel" TargetMode="External"/><Relationship Id="rId97" Type="http://schemas.openxmlformats.org/officeDocument/2006/relationships/hyperlink" Target="https://masterplan.com/courses/von-zahlen-zu-aha-momenten-daten-sinnvoll-nutzen" TargetMode="External"/><Relationship Id="rId96" Type="http://schemas.openxmlformats.org/officeDocument/2006/relationships/hyperlink" Target="http://masterplan.com" TargetMode="External"/><Relationship Id="rId99" Type="http://schemas.openxmlformats.org/officeDocument/2006/relationships/hyperlink" Target="https://masterplan.com/courses/relationale-intelligenz-der-boost-fur-deine-unternehmenskultur" TargetMode="External"/><Relationship Id="rId480" Type="http://schemas.openxmlformats.org/officeDocument/2006/relationships/hyperlink" Target="https://masterplan.com/courses/erfolgreich-verhandeln-6-gekonnt-scheitern" TargetMode="External"/><Relationship Id="rId98" Type="http://schemas.openxmlformats.org/officeDocument/2006/relationships/hyperlink" Target="https://masterplan.com/courses/erfolgreich-fuhren-durch-unsichere-zeiten" TargetMode="External"/><Relationship Id="rId91" Type="http://schemas.openxmlformats.org/officeDocument/2006/relationships/hyperlink" Target="https://masterplan.com/courses/die-4-dimensionen-erfolgreicher-fuhrung" TargetMode="External"/><Relationship Id="rId90" Type="http://schemas.openxmlformats.org/officeDocument/2006/relationships/hyperlink" Target="https://masterplan.com/courses/diversitat-als-erfolgsstrategie" TargetMode="External"/><Relationship Id="rId93" Type="http://schemas.openxmlformats.org/officeDocument/2006/relationships/hyperlink" Target="https://masterplan.com/courses/handgelenke-trainieren-2-kraftigende-ubungen" TargetMode="External"/><Relationship Id="rId92" Type="http://schemas.openxmlformats.org/officeDocument/2006/relationships/hyperlink" Target="https://masterplan.com/courses/mp-shorts-der-dunning-kruger-effekt" TargetMode="External"/><Relationship Id="rId118" Type="http://schemas.openxmlformats.org/officeDocument/2006/relationships/hyperlink" Target="https://masterplan.com/courses/baue-ein-unternehmen-auf-in-dem-die-besten-ideen-gewinnen" TargetMode="External"/><Relationship Id="rId239" Type="http://schemas.openxmlformats.org/officeDocument/2006/relationships/hyperlink" Target="https://masterplan.com/courses/mp-shorts-verschachteltes-lernen" TargetMode="External"/><Relationship Id="rId117" Type="http://schemas.openxmlformats.org/officeDocument/2006/relationships/hyperlink" Target="https://masterplan.com/courses/das-sympathie-dilemma-von-frauen-in-der-fuhrungsrolle" TargetMode="External"/><Relationship Id="rId238" Type="http://schemas.openxmlformats.org/officeDocument/2006/relationships/hyperlink" Target="https://masterplan.com/courses/mp-shorts-der-spacing-effekt" TargetMode="External"/><Relationship Id="rId359" Type="http://schemas.openxmlformats.org/officeDocument/2006/relationships/hyperlink" Target="https://masterplan.com/courses/halt-stopp-vermeide-diese-5-marketingfehler" TargetMode="External"/><Relationship Id="rId116" Type="http://schemas.openxmlformats.org/officeDocument/2006/relationships/hyperlink" Target="https://masterplan.com/courses/wie-man-mitarbeitenden-mit-behinderung-zum-erfolg-verhilft" TargetMode="External"/><Relationship Id="rId237" Type="http://schemas.openxmlformats.org/officeDocument/2006/relationships/hyperlink" Target="https://masterplan.com/courses/business-essentials-ii-eine-positive-unternehmenskultur-schaffen" TargetMode="External"/><Relationship Id="rId358" Type="http://schemas.openxmlformats.org/officeDocument/2006/relationships/hyperlink" Target="https://masterplan.com/courses/besser-kommunizieren-in-kleinen-teams" TargetMode="External"/><Relationship Id="rId479" Type="http://schemas.openxmlformats.org/officeDocument/2006/relationships/hyperlink" Target="https://masterplan.com/courses/erfolgreich-verhandeln-4-sieben-techniken" TargetMode="External"/><Relationship Id="rId115" Type="http://schemas.openxmlformats.org/officeDocument/2006/relationships/hyperlink" Target="https://masterplan.com/courses/emotionale-intelligenz-selbstwahrnehmung" TargetMode="External"/><Relationship Id="rId236" Type="http://schemas.openxmlformats.org/officeDocument/2006/relationships/hyperlink" Target="https://masterplan.com/courses/business-essentials-i-erfolgreich-wirtschaften" TargetMode="External"/><Relationship Id="rId357" Type="http://schemas.openxmlformats.org/officeDocument/2006/relationships/hyperlink" Target="https://masterplan.com/courses/talking-on-the-job-speak-business-english-with-confidence" TargetMode="External"/><Relationship Id="rId478" Type="http://schemas.openxmlformats.org/officeDocument/2006/relationships/hyperlink" Target="https://masterplan.com/courses/media-budget-fuer-anfaenger" TargetMode="External"/><Relationship Id="rId599" Type="http://schemas.openxmlformats.org/officeDocument/2006/relationships/hyperlink" Target="https://masterplan.com/courses/office-365-powerpoint-advanced2" TargetMode="External"/><Relationship Id="rId119" Type="http://schemas.openxmlformats.org/officeDocument/2006/relationships/hyperlink" Target="https://masterplan.com/courses/wie-du-neue-arbeitsweisen-nachhaltig-einfuhrst" TargetMode="External"/><Relationship Id="rId110" Type="http://schemas.openxmlformats.org/officeDocument/2006/relationships/hyperlink" Target="https://masterplan.com/courses/emotionale-intelligenz-fur-fuhrungskrafte" TargetMode="External"/><Relationship Id="rId231" Type="http://schemas.openxmlformats.org/officeDocument/2006/relationships/hyperlink" Target="https://masterplan.com/courses/mitarbeiterengagement-messen-auswerten-durchstarten" TargetMode="External"/><Relationship Id="rId352" Type="http://schemas.openxmlformats.org/officeDocument/2006/relationships/hyperlink" Target="https://masterplan.com/courses/so-foerderst-du-innovation-im-team" TargetMode="External"/><Relationship Id="rId473" Type="http://schemas.openxmlformats.org/officeDocument/2006/relationships/hyperlink" Target="https://masterplan.com/courses/google-suche-fuer-einsteiger" TargetMode="External"/><Relationship Id="rId594" Type="http://schemas.openxmlformats.org/officeDocument/2006/relationships/hyperlink" Target="https://masterplan.com/courses/mindfulness-at-work" TargetMode="External"/><Relationship Id="rId230" Type="http://schemas.openxmlformats.org/officeDocument/2006/relationships/hyperlink" Target="https://masterplan.com/courses/ki-deep-dive-ethik" TargetMode="External"/><Relationship Id="rId351" Type="http://schemas.openxmlformats.org/officeDocument/2006/relationships/hyperlink" Target="https://masterplan.com/courses/mit-links-online-meetings-und-workshops-erfolgreich-moderieren" TargetMode="External"/><Relationship Id="rId472" Type="http://schemas.openxmlformats.org/officeDocument/2006/relationships/hyperlink" Target="https://masterplan.com/courses/google-search-console-fuer-entwickler" TargetMode="External"/><Relationship Id="rId593" Type="http://schemas.openxmlformats.org/officeDocument/2006/relationships/hyperlink" Target="https://masterplan.com/courses/office365-sharepoint-basics" TargetMode="External"/><Relationship Id="rId350" Type="http://schemas.openxmlformats.org/officeDocument/2006/relationships/hyperlink" Target="https://masterplan.com/courses/mit-der-technologie-von-morgen-schritt-halten" TargetMode="External"/><Relationship Id="rId471" Type="http://schemas.openxmlformats.org/officeDocument/2006/relationships/hyperlink" Target="https://masterplan.com/courses/seo-fuer-den-online-handel" TargetMode="External"/><Relationship Id="rId592" Type="http://schemas.openxmlformats.org/officeDocument/2006/relationships/hyperlink" Target="https://masterplan.com/courses/authentizitaet-als-schluessel-zum-erfolg" TargetMode="External"/><Relationship Id="rId470" Type="http://schemas.openxmlformats.org/officeDocument/2006/relationships/hyperlink" Target="https://masterplan.com/courses/mit-content-marketing-im-gespraech-bleiben" TargetMode="External"/><Relationship Id="rId591" Type="http://schemas.openxmlformats.org/officeDocument/2006/relationships/hyperlink" Target="https://masterplan.com/courses/office365-sharepoint-advanced" TargetMode="External"/><Relationship Id="rId114" Type="http://schemas.openxmlformats.org/officeDocument/2006/relationships/hyperlink" Target="https://masterplan.com/courses/wie-fuhrungskrafte-mutig-fur-inklusion-eintreten-konnen" TargetMode="External"/><Relationship Id="rId235" Type="http://schemas.openxmlformats.org/officeDocument/2006/relationships/hyperlink" Target="https://masterplan.com/courses/3-gruende-warum-karrierepfade-fuer-unternehmen-wichtig-sind" TargetMode="External"/><Relationship Id="rId356" Type="http://schemas.openxmlformats.org/officeDocument/2006/relationships/hyperlink" Target="https://masterplan.com/courses/wie-denken-deine-kunden-tipps-fuer-effektives-marketing" TargetMode="External"/><Relationship Id="rId477" Type="http://schemas.openxmlformats.org/officeDocument/2006/relationships/hyperlink" Target="https://masterplan.com/courses/5-marketing-tipps-fuer-schwierige-zeiten" TargetMode="External"/><Relationship Id="rId598" Type="http://schemas.openxmlformats.org/officeDocument/2006/relationships/hyperlink" Target="https://masterplan.com/courses/trust-and-motivation" TargetMode="External"/><Relationship Id="rId113" Type="http://schemas.openxmlformats.org/officeDocument/2006/relationships/hyperlink" Target="https://masterplan.com/courses/lose-mit-diesen-5-schritten-jedes-problem-am-arbeitsplatz" TargetMode="External"/><Relationship Id="rId234" Type="http://schemas.openxmlformats.org/officeDocument/2006/relationships/hyperlink" Target="https://masterplan.com/courses/agile-personalarbeit-in-5-schritten-zum-erfolg" TargetMode="External"/><Relationship Id="rId355" Type="http://schemas.openxmlformats.org/officeDocument/2006/relationships/hyperlink" Target="https://masterplan.com/courses/zu-unrecht-unterschaetzt-die-arbeit-in-gruppen" TargetMode="External"/><Relationship Id="rId476" Type="http://schemas.openxmlformats.org/officeDocument/2006/relationships/hyperlink" Target="https://masterplan.com/courses/glaubwuerdiger-sein-durch-bewertungen" TargetMode="External"/><Relationship Id="rId597" Type="http://schemas.openxmlformats.org/officeDocument/2006/relationships/hyperlink" Target="https://masterplan.com/courses/fbi" TargetMode="External"/><Relationship Id="rId112" Type="http://schemas.openxmlformats.org/officeDocument/2006/relationships/hyperlink" Target="https://masterplan.com/courses/die-gewohnheit-die-deine-karriere-verbessern-konnte" TargetMode="External"/><Relationship Id="rId233" Type="http://schemas.openxmlformats.org/officeDocument/2006/relationships/hyperlink" Target="https://masterplan.com/courses/9-grundpfeiler-einer-zukunftsstarken-personalstrategie" TargetMode="External"/><Relationship Id="rId354" Type="http://schemas.openxmlformats.org/officeDocument/2006/relationships/hyperlink" Target="https://masterplan.com/courses/personalfuehrung-iv-eine-positive-arbeitskultur-schaffen" TargetMode="External"/><Relationship Id="rId475" Type="http://schemas.openxmlformats.org/officeDocument/2006/relationships/hyperlink" Target="https://masterplan.com/courses/so-vermarktest-du-dein-unternehmen-auf-social-media" TargetMode="External"/><Relationship Id="rId596" Type="http://schemas.openxmlformats.org/officeDocument/2006/relationships/hyperlink" Target="https://masterplan.com/courses/feel-good" TargetMode="External"/><Relationship Id="rId111" Type="http://schemas.openxmlformats.org/officeDocument/2006/relationships/hyperlink" Target="https://masterplan.com/courses/emotionale-intelligenz-leicht-gemacht" TargetMode="External"/><Relationship Id="rId232" Type="http://schemas.openxmlformats.org/officeDocument/2006/relationships/hyperlink" Target="https://masterplan.com/courses/die-5-grundsteine-einer-grossartigen-employee-value-proposition" TargetMode="External"/><Relationship Id="rId353" Type="http://schemas.openxmlformats.org/officeDocument/2006/relationships/hyperlink" Target="https://masterplan.com/courses/erst-schreiben-dann-verkaufen-das-1x1-des-copywritings" TargetMode="External"/><Relationship Id="rId474" Type="http://schemas.openxmlformats.org/officeDocument/2006/relationships/hyperlink" Target="https://masterplan.com/courses/google-search-console" TargetMode="External"/><Relationship Id="rId595" Type="http://schemas.openxmlformats.org/officeDocument/2006/relationships/hyperlink" Target="https://masterplan.com/courses/innovation-und-wandel" TargetMode="External"/><Relationship Id="rId305" Type="http://schemas.openxmlformats.org/officeDocument/2006/relationships/hyperlink" Target="https://masterplan.com/courses/wenn-nicht-jetzt-wann-dann-die-klimakrise-aktiv-angehen" TargetMode="External"/><Relationship Id="rId426" Type="http://schemas.openxmlformats.org/officeDocument/2006/relationships/hyperlink" Target="https://masterplan.com/courses/die-wissenschaft-des-erfolgs" TargetMode="External"/><Relationship Id="rId547" Type="http://schemas.openxmlformats.org/officeDocument/2006/relationships/hyperlink" Target="https://masterplan.com/courses/ki-projekte-fuer-unternehmen-tools-und-ethik" TargetMode="External"/><Relationship Id="rId668" Type="http://schemas.openxmlformats.org/officeDocument/2006/relationships/hyperlink" Target="https://masterplan.com/courses/explain-you-know" TargetMode="External"/><Relationship Id="rId304" Type="http://schemas.openxmlformats.org/officeDocument/2006/relationships/hyperlink" Target="https://masterplan.com/courses/drei-regeln-fuer-eine-bessere-work-life-balance" TargetMode="External"/><Relationship Id="rId425" Type="http://schemas.openxmlformats.org/officeDocument/2006/relationships/hyperlink" Target="https://masterplan.com/courses/wie-du-scheitern-zulassen-kannst" TargetMode="External"/><Relationship Id="rId546" Type="http://schemas.openxmlformats.org/officeDocument/2006/relationships/hyperlink" Target="https://masterplan.com/courses/so-steuern-wir-kollektive-kreativitaet" TargetMode="External"/><Relationship Id="rId667" Type="http://schemas.openxmlformats.org/officeDocument/2006/relationships/hyperlink" Target="https://masterplan.com/courses/finanzen-im-wandel" TargetMode="External"/><Relationship Id="rId303" Type="http://schemas.openxmlformats.org/officeDocument/2006/relationships/hyperlink" Target="https://masterplan.com/courses/emissionsfrei-in-die-zukunft-neue-technologien-foerdern" TargetMode="External"/><Relationship Id="rId424" Type="http://schemas.openxmlformats.org/officeDocument/2006/relationships/hyperlink" Target="https://masterplan.com/courses/geheimnis-erfolgreicher-ceos" TargetMode="External"/><Relationship Id="rId545" Type="http://schemas.openxmlformats.org/officeDocument/2006/relationships/hyperlink" Target="https://masterplan.com/courses/was-introvertierte-anderen-voraus-haben" TargetMode="External"/><Relationship Id="rId666" Type="http://schemas.openxmlformats.org/officeDocument/2006/relationships/hyperlink" Target="https://masterplan.com/courses/wol-camp" TargetMode="External"/><Relationship Id="rId302" Type="http://schemas.openxmlformats.org/officeDocument/2006/relationships/hyperlink" Target="https://masterplan.com/courses/agiles-projektmanagement-ii-design-thinking" TargetMode="External"/><Relationship Id="rId423" Type="http://schemas.openxmlformats.org/officeDocument/2006/relationships/hyperlink" Target="https://masterplan.com/courses/fit-fuer-die-zukunft" TargetMode="External"/><Relationship Id="rId544" Type="http://schemas.openxmlformats.org/officeDocument/2006/relationships/hyperlink" Target="https://masterplan.com/courses/warum-zu-viele-regeln-produktivitaet-blockieren" TargetMode="External"/><Relationship Id="rId665" Type="http://schemas.openxmlformats.org/officeDocument/2006/relationships/hyperlink" Target="https://masterplan.com/courses/work-awesome-18" TargetMode="External"/><Relationship Id="rId309" Type="http://schemas.openxmlformats.org/officeDocument/2006/relationships/hyperlink" Target="https://masterplan.com/courses/wie-langeweile-zu-den-hervorragendsten-ideen-fuehren-kann" TargetMode="External"/><Relationship Id="rId308" Type="http://schemas.openxmlformats.org/officeDocument/2006/relationships/hyperlink" Target="https://masterplan.com/courses/was-unternehmen-vom-online-dating-lernen-koennen" TargetMode="External"/><Relationship Id="rId429" Type="http://schemas.openxmlformats.org/officeDocument/2006/relationships/hyperlink" Target="https://masterplan.com/courses/a-3-second-technique-for-better-coaching" TargetMode="External"/><Relationship Id="rId307" Type="http://schemas.openxmlformats.org/officeDocument/2006/relationships/hyperlink" Target="https://masterplan.com/courses/warum-gespraeche-mit-fremden-gluecklich-machen" TargetMode="External"/><Relationship Id="rId428" Type="http://schemas.openxmlformats.org/officeDocument/2006/relationships/hyperlink" Target="https://masterplan.com/courses/feedback-das-wirkt" TargetMode="External"/><Relationship Id="rId549" Type="http://schemas.openxmlformats.org/officeDocument/2006/relationships/hyperlink" Target="https://masterplan.com/courses/unueberwachtes-lernen-als-potenzial" TargetMode="External"/><Relationship Id="rId306" Type="http://schemas.openxmlformats.org/officeDocument/2006/relationships/hyperlink" Target="https://masterplan.com/courses/helfen-macht-gluecklich-aber-es-kommt-darauf-an-wie-wir-helfen" TargetMode="External"/><Relationship Id="rId427" Type="http://schemas.openxmlformats.org/officeDocument/2006/relationships/hyperlink" Target="https://masterplan.com/courses/elastisches-denken" TargetMode="External"/><Relationship Id="rId548" Type="http://schemas.openxmlformats.org/officeDocument/2006/relationships/hyperlink" Target="https://masterplan.com/courses/ki-und-empfehlungsdienste" TargetMode="External"/><Relationship Id="rId669" Type="http://schemas.openxmlformats.org/officeDocument/2006/relationships/hyperlink" Target="https://masterplan.com/courses/cnbc-explains" TargetMode="External"/><Relationship Id="rId660" Type="http://schemas.openxmlformats.org/officeDocument/2006/relationships/hyperlink" Target="https://masterplan.com/courses/work-awesome-19" TargetMode="External"/><Relationship Id="rId301" Type="http://schemas.openxmlformats.org/officeDocument/2006/relationships/hyperlink" Target="https://masterplan.com/courses/agiles-projektmanagement-i-was-ist-agilitaet" TargetMode="External"/><Relationship Id="rId422" Type="http://schemas.openxmlformats.org/officeDocument/2006/relationships/hyperlink" Target="https://masterplan.com/courses/lightning-decision-jam-workshop" TargetMode="External"/><Relationship Id="rId543" Type="http://schemas.openxmlformats.org/officeDocument/2006/relationships/hyperlink" Target="https://masterplan.com/courses/was-spaghettisauce-mit-glueck-zu-tun-hat" TargetMode="External"/><Relationship Id="rId664" Type="http://schemas.openxmlformats.org/officeDocument/2006/relationships/hyperlink" Target="https://masterplan.com/courses/summit-la19" TargetMode="External"/><Relationship Id="rId300" Type="http://schemas.openxmlformats.org/officeDocument/2006/relationships/hyperlink" Target="https://masterplan.com/courses/mit-diversitaet-und-inklusion-gemeinsam-zum-erfolg" TargetMode="External"/><Relationship Id="rId421" Type="http://schemas.openxmlformats.org/officeDocument/2006/relationships/hyperlink" Target="https://masterplan.com/courses/neue-arbeitswelt" TargetMode="External"/><Relationship Id="rId542" Type="http://schemas.openxmlformats.org/officeDocument/2006/relationships/hyperlink" Target="https://masterplan.com/courses/grund-zum-optimismus-beim-klimawandel" TargetMode="External"/><Relationship Id="rId663" Type="http://schemas.openxmlformats.org/officeDocument/2006/relationships/hyperlink" Target="https://masterplan.com/courses/energiewirtschaft-im-wandel" TargetMode="External"/><Relationship Id="rId420" Type="http://schemas.openxmlformats.org/officeDocument/2006/relationships/hyperlink" Target="https://masterplan.com/courses/design-thinking-leicht-gemacht" TargetMode="External"/><Relationship Id="rId541" Type="http://schemas.openxmlformats.org/officeDocument/2006/relationships/hyperlink" Target="https://masterplan.com/courses/wie-fuehrungskraefte-handlungen-motivieren" TargetMode="External"/><Relationship Id="rId662" Type="http://schemas.openxmlformats.org/officeDocument/2006/relationships/hyperlink" Target="https://masterplan.com/courses/wege-zum-erfolg-oliver-kahn" TargetMode="External"/><Relationship Id="rId540" Type="http://schemas.openxmlformats.org/officeDocument/2006/relationships/hyperlink" Target="https://masterplan.com/courses/das-paradoxon-der-wahlmoglichkeiten" TargetMode="External"/><Relationship Id="rId661" Type="http://schemas.openxmlformats.org/officeDocument/2006/relationships/hyperlink" Target="https://masterplan.com/courses/dmexco-19" TargetMode="External"/><Relationship Id="rId415" Type="http://schemas.openxmlformats.org/officeDocument/2006/relationships/hyperlink" Target="https://masterplan.com/courses/licht-kamera-action-online-souveraen-auftreten" TargetMode="External"/><Relationship Id="rId536" Type="http://schemas.openxmlformats.org/officeDocument/2006/relationships/hyperlink" Target="https://masterplan.com/courses/wie-fokusgruppen-funktionieren" TargetMode="External"/><Relationship Id="rId657" Type="http://schemas.openxmlformats.org/officeDocument/2006/relationships/hyperlink" Target="https://masterplan.com/courses/hinterland20" TargetMode="External"/><Relationship Id="rId414" Type="http://schemas.openxmlformats.org/officeDocument/2006/relationships/hyperlink" Target="https://masterplan.com/courses/entscheidungsfindung-im-team-das-konsensprinzip" TargetMode="External"/><Relationship Id="rId535" Type="http://schemas.openxmlformats.org/officeDocument/2006/relationships/hyperlink" Target="https://masterplan.com/courses/wege-deine-anpassungsfaehigkeit-zu-testen" TargetMode="External"/><Relationship Id="rId656" Type="http://schemas.openxmlformats.org/officeDocument/2006/relationships/hyperlink" Target="https://masterplan.com/courses/raumfahrt" TargetMode="External"/><Relationship Id="rId413" Type="http://schemas.openxmlformats.org/officeDocument/2006/relationships/hyperlink" Target="https://masterplan.com/courses/erste-schritte-mit-zoom-i-meetings-beitreten-und-prasentieren" TargetMode="External"/><Relationship Id="rId534" Type="http://schemas.openxmlformats.org/officeDocument/2006/relationships/hyperlink" Target="https://masterplan.com/courses/wie-du-verbuendete-am-arbeitsplatz-schaffst" TargetMode="External"/><Relationship Id="rId655" Type="http://schemas.openxmlformats.org/officeDocument/2006/relationships/hyperlink" Target="https://masterplan.com/courses/neu-im-homeoffice" TargetMode="External"/><Relationship Id="rId412" Type="http://schemas.openxmlformats.org/officeDocument/2006/relationships/hyperlink" Target="https://masterplan.com/courses/die-10-wichtigsten-tech-erfindungen-des-letzen-jahrzehnts" TargetMode="External"/><Relationship Id="rId533" Type="http://schemas.openxmlformats.org/officeDocument/2006/relationships/hyperlink" Target="https://masterplan.com/courses/schluss-mit-schlechten-meetings-ted" TargetMode="External"/><Relationship Id="rId654" Type="http://schemas.openxmlformats.org/officeDocument/2006/relationships/hyperlink" Target="https://masterplan.com/courses/collaborate-intelligently" TargetMode="External"/><Relationship Id="rId419" Type="http://schemas.openxmlformats.org/officeDocument/2006/relationships/hyperlink" Target="https://masterplan.com/courses/keyword-recherche" TargetMode="External"/><Relationship Id="rId418" Type="http://schemas.openxmlformats.org/officeDocument/2006/relationships/hyperlink" Target="https://masterplan.com/courses/12-website-architektur-tipps-fur-seo" TargetMode="External"/><Relationship Id="rId539" Type="http://schemas.openxmlformats.org/officeDocument/2006/relationships/hyperlink" Target="https://masterplan.com/courses/vertrauen-als-moderne-waehrung" TargetMode="External"/><Relationship Id="rId417" Type="http://schemas.openxmlformats.org/officeDocument/2006/relationships/hyperlink" Target="https://masterplan.com/courses/wie-workshop-moderation-dein-arbeitsleben-verandert" TargetMode="External"/><Relationship Id="rId538" Type="http://schemas.openxmlformats.org/officeDocument/2006/relationships/hyperlink" Target="https://masterplan.com/courses/vordenker-haben-ueberraschende-gewohnheiten" TargetMode="External"/><Relationship Id="rId659" Type="http://schemas.openxmlformats.org/officeDocument/2006/relationships/hyperlink" Target="https://masterplan.com/courses/new-work-blackboat" TargetMode="External"/><Relationship Id="rId416" Type="http://schemas.openxmlformats.org/officeDocument/2006/relationships/hyperlink" Target="https://masterplan.com/courses/user-research-die-vorteile-der-nutzerforschung" TargetMode="External"/><Relationship Id="rId537" Type="http://schemas.openxmlformats.org/officeDocument/2006/relationships/hyperlink" Target="https://masterplan.com/courses/vier-tipps-fuer-grossartige-vortraege" TargetMode="External"/><Relationship Id="rId658" Type="http://schemas.openxmlformats.org/officeDocument/2006/relationships/hyperlink" Target="https://masterplan.com/courses/omr-19" TargetMode="External"/><Relationship Id="rId411" Type="http://schemas.openxmlformats.org/officeDocument/2006/relationships/hyperlink" Target="https://masterplan.com/courses/world-economic-forum-das-macht-gute-fuehrung-aus" TargetMode="External"/><Relationship Id="rId532" Type="http://schemas.openxmlformats.org/officeDocument/2006/relationships/hyperlink" Target="https://masterplan.com/courses/schaffe-neue-moeglichkeiten" TargetMode="External"/><Relationship Id="rId653" Type="http://schemas.openxmlformats.org/officeDocument/2006/relationships/hyperlink" Target="https://masterplan.com/courses/remote-work-kommunikation" TargetMode="External"/><Relationship Id="rId410" Type="http://schemas.openxmlformats.org/officeDocument/2006/relationships/hyperlink" Target="https://masterplan.com/courses/wie-ki-menschheitsprobleme-loest" TargetMode="External"/><Relationship Id="rId531" Type="http://schemas.openxmlformats.org/officeDocument/2006/relationships/hyperlink" Target="https://masterplan.com/courses/was-gutes-feedback-so-besonders-macht" TargetMode="External"/><Relationship Id="rId652" Type="http://schemas.openxmlformats.org/officeDocument/2006/relationships/hyperlink" Target="https://masterplan.com/courses/use-design-thinking" TargetMode="External"/><Relationship Id="rId530" Type="http://schemas.openxmlformats.org/officeDocument/2006/relationships/hyperlink" Target="https://masterplan.com/courses/was-kann-man-aus-abkuerzungen-lernen" TargetMode="External"/><Relationship Id="rId651" Type="http://schemas.openxmlformats.org/officeDocument/2006/relationships/hyperlink" Target="https://masterplan.com/courses/influencing-others" TargetMode="External"/><Relationship Id="rId650" Type="http://schemas.openxmlformats.org/officeDocument/2006/relationships/hyperlink" Target="https://masterplan.com/courses/design-disruptors" TargetMode="External"/><Relationship Id="rId206" Type="http://schemas.openxmlformats.org/officeDocument/2006/relationships/hyperlink" Target="https://masterplan.com/courses/mp-shorts-gewaltfreie-kommunikation" TargetMode="External"/><Relationship Id="rId327" Type="http://schemas.openxmlformats.org/officeDocument/2006/relationships/hyperlink" Target="https://masterplan.com/courses/mp-shorts-cognitive-biases-halo-effect" TargetMode="External"/><Relationship Id="rId448" Type="http://schemas.openxmlformats.org/officeDocument/2006/relationships/hyperlink" Target="https://masterplan.com/courses/suchintention-verstehen" TargetMode="External"/><Relationship Id="rId569" Type="http://schemas.openxmlformats.org/officeDocument/2006/relationships/hyperlink" Target="https://masterplan.com/courses/wandel-ermoeglichen-krisen-ueberwinden" TargetMode="External"/><Relationship Id="rId205" Type="http://schemas.openxmlformats.org/officeDocument/2006/relationships/hyperlink" Target="https://masterplan.com/courses/mp-shorts-permission-structure" TargetMode="External"/><Relationship Id="rId326" Type="http://schemas.openxmlformats.org/officeDocument/2006/relationships/hyperlink" Target="https://masterplan.com/courses/mp-shorts-cognitive-biases-action-bias" TargetMode="External"/><Relationship Id="rId447" Type="http://schemas.openxmlformats.org/officeDocument/2006/relationships/hyperlink" Target="https://masterplan.com/courses/offpage-seo-backlink" TargetMode="External"/><Relationship Id="rId568" Type="http://schemas.openxmlformats.org/officeDocument/2006/relationships/hyperlink" Target="https://masterplan.com/courses/gezielt-bewerbungsgespraeche-fuehren" TargetMode="External"/><Relationship Id="rId689" Type="http://schemas.openxmlformats.org/officeDocument/2006/relationships/hyperlink" Target="https://masterplan.com/courses/gesundheitswesen-im-wandel" TargetMode="External"/><Relationship Id="rId204" Type="http://schemas.openxmlformats.org/officeDocument/2006/relationships/hyperlink" Target="https://masterplan.com/courses/mp-shorts-salomons-paradox" TargetMode="External"/><Relationship Id="rId325" Type="http://schemas.openxmlformats.org/officeDocument/2006/relationships/hyperlink" Target="https://masterplan.com/courses/mp-shorts-cognitive-biases-anchoring" TargetMode="External"/><Relationship Id="rId446" Type="http://schemas.openxmlformats.org/officeDocument/2006/relationships/hyperlink" Target="https://masterplan.com/courses/ai-updates" TargetMode="External"/><Relationship Id="rId567" Type="http://schemas.openxmlformats.org/officeDocument/2006/relationships/hyperlink" Target="https://masterplan.com/courses/kundengespraeche-online-erfolgreich-fuehren" TargetMode="External"/><Relationship Id="rId688" Type="http://schemas.openxmlformats.org/officeDocument/2006/relationships/hyperlink" Target="https://masterplan.com/courses/evolutionary-leadership" TargetMode="External"/><Relationship Id="rId203" Type="http://schemas.openxmlformats.org/officeDocument/2006/relationships/hyperlink" Target="https://masterplan.com/courses/mp-shorts-die-entscheidungsmuedigkeit" TargetMode="External"/><Relationship Id="rId324" Type="http://schemas.openxmlformats.org/officeDocument/2006/relationships/hyperlink" Target="https://masterplan.com/courses/tech-updates-august-ii" TargetMode="External"/><Relationship Id="rId445" Type="http://schemas.openxmlformats.org/officeDocument/2006/relationships/hyperlink" Target="https://masterplan.com/courses/eigene-masterplan-kurse" TargetMode="External"/><Relationship Id="rId566" Type="http://schemas.openxmlformats.org/officeDocument/2006/relationships/hyperlink" Target="https://masterplan.com/courses/verantwortung-und-motivation-in-neuen-teams" TargetMode="External"/><Relationship Id="rId687" Type="http://schemas.openxmlformats.org/officeDocument/2006/relationships/hyperlink" Target="https://masterplan.com/courses/people-analytics" TargetMode="External"/><Relationship Id="rId209" Type="http://schemas.openxmlformats.org/officeDocument/2006/relationships/hyperlink" Target="https://masterplan.com/courses/mp-shorts-die-2-pizza-regel" TargetMode="External"/><Relationship Id="rId208" Type="http://schemas.openxmlformats.org/officeDocument/2006/relationships/hyperlink" Target="https://masterplan.com/courses/kann-ich-ihnen-helfen-dein-kundenservice-1x1" TargetMode="External"/><Relationship Id="rId329" Type="http://schemas.openxmlformats.org/officeDocument/2006/relationships/hyperlink" Target="https://masterplan.com/courses/mp-shorts-cognitive-biases-planning-fallacy" TargetMode="External"/><Relationship Id="rId207" Type="http://schemas.openxmlformats.org/officeDocument/2006/relationships/hyperlink" Target="https://masterplan.com/courses/mp-shorts-babble-hypothesis" TargetMode="External"/><Relationship Id="rId328" Type="http://schemas.openxmlformats.org/officeDocument/2006/relationships/hyperlink" Target="https://masterplan.com/courses/mp-shorts-cognitive-biases-sunk-cost-fallacy" TargetMode="External"/><Relationship Id="rId449" Type="http://schemas.openxmlformats.org/officeDocument/2006/relationships/hyperlink" Target="https://masterplan.com/courses/onpage-seo-checkliste" TargetMode="External"/><Relationship Id="rId440" Type="http://schemas.openxmlformats.org/officeDocument/2006/relationships/hyperlink" Target="https://masterplan.com/courses/verstaendnis-kunden" TargetMode="External"/><Relationship Id="rId561" Type="http://schemas.openxmlformats.org/officeDocument/2006/relationships/hyperlink" Target="https://masterplan.com/courses/kundenbeziehungen-online-aufbauen" TargetMode="External"/><Relationship Id="rId682" Type="http://schemas.openxmlformats.org/officeDocument/2006/relationships/hyperlink" Target="https://masterplan.com/courses/das-geheimnis-der-emma-gmbh" TargetMode="External"/><Relationship Id="rId560" Type="http://schemas.openxmlformats.org/officeDocument/2006/relationships/hyperlink" Target="https://masterplan.com/courses/mit-impact-verkaufen-einflussreiche-angebote-schreiben" TargetMode="External"/><Relationship Id="rId681" Type="http://schemas.openxmlformats.org/officeDocument/2006/relationships/hyperlink" Target="https://masterplan.com/courses/boma-germany-19" TargetMode="External"/><Relationship Id="rId680" Type="http://schemas.openxmlformats.org/officeDocument/2006/relationships/hyperlink" Target="https://masterplan.com/courses/mobilitaet-im-wandel" TargetMode="External"/><Relationship Id="rId202" Type="http://schemas.openxmlformats.org/officeDocument/2006/relationships/hyperlink" Target="https://masterplan.com/courses/mp-shorts-funktionale-fixierung" TargetMode="External"/><Relationship Id="rId323" Type="http://schemas.openxmlformats.org/officeDocument/2006/relationships/hyperlink" Target="https://masterplan.com/courses/geld-ist-nicht-alles-mit-beschaeftigten-benefits-richtig-punkten" TargetMode="External"/><Relationship Id="rId444" Type="http://schemas.openxmlformats.org/officeDocument/2006/relationships/hyperlink" Target="https://masterplan.com/courses/warum-du-80-deiner-fortbildungen-vergisst" TargetMode="External"/><Relationship Id="rId565" Type="http://schemas.openxmlformats.org/officeDocument/2006/relationships/hyperlink" Target="https://masterplan.com/courses/transparente-fuehrung" TargetMode="External"/><Relationship Id="rId686" Type="http://schemas.openxmlformats.org/officeDocument/2006/relationships/hyperlink" Target="https://masterplan.com/courses/radikale-innovation" TargetMode="External"/><Relationship Id="rId201" Type="http://schemas.openxmlformats.org/officeDocument/2006/relationships/hyperlink" Target="https://masterplan.com/courses/adobe-photoshop-der-ultimative-guide-i" TargetMode="External"/><Relationship Id="rId322" Type="http://schemas.openxmlformats.org/officeDocument/2006/relationships/hyperlink" Target="https://masterplan.com/courses/5-experten-5-jahre-und-1-ziel-aufbau-einer-nachhaltigen-zukunft" TargetMode="External"/><Relationship Id="rId443" Type="http://schemas.openxmlformats.org/officeDocument/2006/relationships/hyperlink" Target="https://masterplan.com/courses/backlinks-aufbauen" TargetMode="External"/><Relationship Id="rId564" Type="http://schemas.openxmlformats.org/officeDocument/2006/relationships/hyperlink" Target="https://masterplan.com/courses/ein-guter-start-mitarbeitende-onboarden-und-binden" TargetMode="External"/><Relationship Id="rId685" Type="http://schemas.openxmlformats.org/officeDocument/2006/relationships/hyperlink" Target="https://masterplan.com/courses/ask-me-anything" TargetMode="External"/><Relationship Id="rId200" Type="http://schemas.openxmlformats.org/officeDocument/2006/relationships/hyperlink" Target="https://masterplan.com/courses/adobe-indesign-der-ultimative-guide-i" TargetMode="External"/><Relationship Id="rId321" Type="http://schemas.openxmlformats.org/officeDocument/2006/relationships/hyperlink" Target="https://masterplan.com/courses/vom-feld-ins-regal-die-lebensmittelkette-der-zukunft" TargetMode="External"/><Relationship Id="rId442" Type="http://schemas.openxmlformats.org/officeDocument/2006/relationships/hyperlink" Target="https://masterplan.com/courses/seo-wissen-aktuell" TargetMode="External"/><Relationship Id="rId563" Type="http://schemas.openxmlformats.org/officeDocument/2006/relationships/hyperlink" Target="https://masterplan.com/courses/engagement-in-online-demos" TargetMode="External"/><Relationship Id="rId684" Type="http://schemas.openxmlformats.org/officeDocument/2006/relationships/hyperlink" Target="https://masterplan.com/courses/how-to-become-an-e-learner" TargetMode="External"/><Relationship Id="rId320" Type="http://schemas.openxmlformats.org/officeDocument/2006/relationships/hyperlink" Target="https://masterplan.com/courses/inclusive-leadership-iii-gemeinsam-statt-einsam" TargetMode="External"/><Relationship Id="rId441" Type="http://schemas.openxmlformats.org/officeDocument/2006/relationships/hyperlink" Target="https://masterplan.com/courses/interne-verlinkung" TargetMode="External"/><Relationship Id="rId562" Type="http://schemas.openxmlformats.org/officeDocument/2006/relationships/hyperlink" Target="https://masterplan.com/courses/klar-denken-und-entscheiden" TargetMode="External"/><Relationship Id="rId683" Type="http://schemas.openxmlformats.org/officeDocument/2006/relationships/hyperlink" Target="https://masterplan.com/courses/kundenzentrierung" TargetMode="External"/><Relationship Id="rId316" Type="http://schemas.openxmlformats.org/officeDocument/2006/relationships/hyperlink" Target="https://masterplan.com/courses/siri-alexa-google-was-kommt-als-naechstes" TargetMode="External"/><Relationship Id="rId437" Type="http://schemas.openxmlformats.org/officeDocument/2006/relationships/hyperlink" Target="https://masterplan.com/courses/starke-durch-offenheit" TargetMode="External"/><Relationship Id="rId558" Type="http://schemas.openxmlformats.org/officeDocument/2006/relationships/hyperlink" Target="https://masterplan.com/courses/crashkurs-die-grundlagen-von-verkaufstechniken" TargetMode="External"/><Relationship Id="rId679" Type="http://schemas.openxmlformats.org/officeDocument/2006/relationships/hyperlink" Target="https://masterplan.com/courses/rhetorik" TargetMode="External"/><Relationship Id="rId315" Type="http://schemas.openxmlformats.org/officeDocument/2006/relationships/hyperlink" Target="https://masterplan.com/courses/ziellos-matt-und-leer-komm-wieder-in-den-flow" TargetMode="External"/><Relationship Id="rId436" Type="http://schemas.openxmlformats.org/officeDocument/2006/relationships/hyperlink" Target="https://masterplan.com/courses/inklusion-diversitaet" TargetMode="External"/><Relationship Id="rId557" Type="http://schemas.openxmlformats.org/officeDocument/2006/relationships/hyperlink" Target="https://masterplan.com/courses/wie-ki-geschaeftsprozesse-veraendert" TargetMode="External"/><Relationship Id="rId678" Type="http://schemas.openxmlformats.org/officeDocument/2006/relationships/hyperlink" Target="https://masterplan.com/courses/praesentieren" TargetMode="External"/><Relationship Id="rId314" Type="http://schemas.openxmlformats.org/officeDocument/2006/relationships/hyperlink" Target="https://masterplan.com/courses/mit-drei-fragen-zu-mehr-widerstandskraft" TargetMode="External"/><Relationship Id="rId435" Type="http://schemas.openxmlformats.org/officeDocument/2006/relationships/hyperlink" Target="https://masterplan.com/courses/feedback-verhalten-korrigieren" TargetMode="External"/><Relationship Id="rId556" Type="http://schemas.openxmlformats.org/officeDocument/2006/relationships/hyperlink" Target="https://masterplan.com/courses/denk-wie-eine-programmiererin" TargetMode="External"/><Relationship Id="rId677" Type="http://schemas.openxmlformats.org/officeDocument/2006/relationships/hyperlink" Target="https://masterplan.com/courses/koerpersprache" TargetMode="External"/><Relationship Id="rId313" Type="http://schemas.openxmlformats.org/officeDocument/2006/relationships/hyperlink" Target="https://masterplan.com/courses/ein-schritt-richtung-zukunft-das-potenzial-von-ki" TargetMode="External"/><Relationship Id="rId434" Type="http://schemas.openxmlformats.org/officeDocument/2006/relationships/hyperlink" Target="https://masterplan.com/courses/ehrliche-gesprache-fuhren" TargetMode="External"/><Relationship Id="rId555" Type="http://schemas.openxmlformats.org/officeDocument/2006/relationships/hyperlink" Target="https://masterplan.com/courses/einfuehrung-moderne-ki-und-maschinelles-lernen" TargetMode="External"/><Relationship Id="rId676" Type="http://schemas.openxmlformats.org/officeDocument/2006/relationships/hyperlink" Target="https://masterplan.com/courses/working-out-loud" TargetMode="External"/><Relationship Id="rId319" Type="http://schemas.openxmlformats.org/officeDocument/2006/relationships/hyperlink" Target="https://masterplan.com/courses/inclusive-leadership-iv-den-wandel-gestalten" TargetMode="External"/><Relationship Id="rId318" Type="http://schemas.openxmlformats.org/officeDocument/2006/relationships/hyperlink" Target="https://masterplan.com/courses/tech-updates-august-iii" TargetMode="External"/><Relationship Id="rId439" Type="http://schemas.openxmlformats.org/officeDocument/2006/relationships/hyperlink" Target="https://masterplan.com/courses/leitersicherheit" TargetMode="External"/><Relationship Id="rId317" Type="http://schemas.openxmlformats.org/officeDocument/2006/relationships/hyperlink" Target="https://masterplan.com/courses/der-weg-zu-mehr-gleichberechtigung" TargetMode="External"/><Relationship Id="rId438" Type="http://schemas.openxmlformats.org/officeDocument/2006/relationships/hyperlink" Target="https://masterplan.com/courses/sei-gut-zu-dir-selbst" TargetMode="External"/><Relationship Id="rId559" Type="http://schemas.openxmlformats.org/officeDocument/2006/relationships/hyperlink" Target="https://masterplan.com/courses/stakeholder-meetings" TargetMode="External"/><Relationship Id="rId550" Type="http://schemas.openxmlformats.org/officeDocument/2006/relationships/hyperlink" Target="https://masterplan.com/courses/ki-und-natuerliche-sprachverarbeitung" TargetMode="External"/><Relationship Id="rId671" Type="http://schemas.openxmlformats.org/officeDocument/2006/relationships/hyperlink" Target="https://masterplan.com/courses/bits-and-pretzels-19" TargetMode="External"/><Relationship Id="rId670" Type="http://schemas.openxmlformats.org/officeDocument/2006/relationships/hyperlink" Target="https://masterplan.com/courses/power-of-why-powered-by-big-think" TargetMode="External"/><Relationship Id="rId312" Type="http://schemas.openxmlformats.org/officeDocument/2006/relationships/hyperlink" Target="https://masterplan.com/courses/warum-gute-fuehrungskraefte-humor-ernst-nehmen" TargetMode="External"/><Relationship Id="rId433" Type="http://schemas.openxmlformats.org/officeDocument/2006/relationships/hyperlink" Target="https://masterplan.com/courses/schwierige-gespraeche-fuhren" TargetMode="External"/><Relationship Id="rId554" Type="http://schemas.openxmlformats.org/officeDocument/2006/relationships/hyperlink" Target="https://masterplan.com/courses/deep-learning-und-computer-vision" TargetMode="External"/><Relationship Id="rId675" Type="http://schemas.openxmlformats.org/officeDocument/2006/relationships/hyperlink" Target="https://masterplan.com/courses/zeitmanagement" TargetMode="External"/><Relationship Id="rId311" Type="http://schemas.openxmlformats.org/officeDocument/2006/relationships/hyperlink" Target="https://masterplan.com/courses/2-fragen-um-deine-leidenschaft-zu-entdecken-und-zum-beruf-zu-machen" TargetMode="External"/><Relationship Id="rId432" Type="http://schemas.openxmlformats.org/officeDocument/2006/relationships/hyperlink" Target="https://masterplan.com/courses/wirksam-lob-aussprechen" TargetMode="External"/><Relationship Id="rId553" Type="http://schemas.openxmlformats.org/officeDocument/2006/relationships/hyperlink" Target="https://masterplan.com/courses/warum-respekt-gut-fuer-das-geschaeft-ist" TargetMode="External"/><Relationship Id="rId674" Type="http://schemas.openxmlformats.org/officeDocument/2006/relationships/hyperlink" Target="https://masterplan.com/courses/stressmanagement" TargetMode="External"/><Relationship Id="rId310" Type="http://schemas.openxmlformats.org/officeDocument/2006/relationships/hyperlink" Target="https://masterplan.com/courses/das-auge-isst-mit-wie-farbe-die-produktwahrnehmung-beeinflusst" TargetMode="External"/><Relationship Id="rId431" Type="http://schemas.openxmlformats.org/officeDocument/2006/relationships/hyperlink" Target="https://masterplan.com/courses/mit-fehlern-umgehen" TargetMode="External"/><Relationship Id="rId552" Type="http://schemas.openxmlformats.org/officeDocument/2006/relationships/hyperlink" Target="https://masterplan.com/courses/die-zeit-der-rangordnungen-ist-gezaehlt" TargetMode="External"/><Relationship Id="rId673" Type="http://schemas.openxmlformats.org/officeDocument/2006/relationships/hyperlink" Target="https://masterplan.com/courses/rise-of-ai-19" TargetMode="External"/><Relationship Id="rId430" Type="http://schemas.openxmlformats.org/officeDocument/2006/relationships/hyperlink" Target="https://masterplan.com/courses/rueckschlaege-positiv-gestalten" TargetMode="External"/><Relationship Id="rId551" Type="http://schemas.openxmlformats.org/officeDocument/2006/relationships/hyperlink" Target="https://masterplan.com/courses/gefuehle-zeigen-als-staerke-sehen" TargetMode="External"/><Relationship Id="rId672" Type="http://schemas.openxmlformats.org/officeDocument/2006/relationships/hyperlink" Target="https://masterplan.com/courses/sz-wirtschaftsgipfel-19"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1.0" topLeftCell="A2" activePane="bottomLeft" state="frozen"/>
      <selection activeCell="B3" sqref="B3" pane="bottomLeft"/>
    </sheetView>
  </sheetViews>
  <sheetFormatPr customHeight="1" defaultColWidth="12.63" defaultRowHeight="15.75"/>
  <cols>
    <col customWidth="1" min="1" max="2" width="18.88"/>
    <col customWidth="1" min="3" max="4" width="37.63"/>
    <col customWidth="1" min="5" max="5" width="18.88"/>
    <col customWidth="1" min="6" max="6" width="19.0"/>
    <col customWidth="1" min="7" max="10" width="12.63"/>
    <col customWidth="1" min="11" max="11" width="14.75"/>
    <col customWidth="1" min="12" max="12" width="25.13"/>
  </cols>
  <sheetData>
    <row r="1">
      <c r="A1" s="1" t="s">
        <v>0</v>
      </c>
      <c r="B1" s="2" t="s">
        <v>1</v>
      </c>
      <c r="C1" s="2" t="s">
        <v>2</v>
      </c>
      <c r="D1" s="2" t="s">
        <v>3</v>
      </c>
      <c r="E1" s="3" t="s">
        <v>4</v>
      </c>
      <c r="F1" s="4" t="s">
        <v>5</v>
      </c>
      <c r="G1" s="4" t="s">
        <v>6</v>
      </c>
      <c r="H1" s="4" t="s">
        <v>7</v>
      </c>
      <c r="I1" s="4" t="s">
        <v>8</v>
      </c>
      <c r="J1" s="4" t="s">
        <v>9</v>
      </c>
      <c r="K1" s="4" t="s">
        <v>10</v>
      </c>
      <c r="L1" s="5" t="s">
        <v>11</v>
      </c>
    </row>
    <row r="2">
      <c r="A2" s="6" t="str">
        <f>IFERROR(__xludf.DUMMYFUNCTION("SORT(importrange(""https://docs.google.com/spreadsheets/d/1DBpNkm6_FvrCmiQVsWxW9g3pKcE0RxhRms8q7pOpxAw/edit?gid=757063078#gid=757063078&amp;fvid=954961607"", ""Content_Overview_Excel!$A$2:L""), 11, FALSE)"),"Psychologie der Verhandlung IV: Den Überblick gewinnen ")</f>
        <v>Psychologie der Verhandlung IV: Den Überblick gewinnen </v>
      </c>
      <c r="B2" s="7" t="str">
        <f>IFERROR(__xludf.DUMMYFUNCTION("""COMPUTED_VALUE"""),"Psychology of Negotiation IV: Gaining an Overview")</f>
        <v>Psychology of Negotiation IV: Gaining an Overview</v>
      </c>
      <c r="C2" s="8" t="str">
        <f>IFERROR(__xludf.DUMMYFUNCTION("""COMPUTED_VALUE"""),"Um dich auf die Verhandlung vorzubereiten, solltest du dir ein detailliertes Bild der Gegenseite machen. In diesem Kurs lernst du, welche Methoden du dafür verwenden kannst und welche Faktoren deine Verhandlung beeinflussen können.")</f>
        <v>Um dich auf die Verhandlung vorzubereiten, solltest du dir ein detailliertes Bild der Gegenseite machen. In diesem Kurs lernst du, welche Methoden du dafür verwenden kannst und welche Faktoren deine Verhandlung beeinflussen können.</v>
      </c>
      <c r="D2" s="8" t="str">
        <f>IFERROR(__xludf.DUMMYFUNCTION("""COMPUTED_VALUE"""),"To fully prepare for a negotiation, you need a detailed understanding of the other party. In this course, you'll learn methods for gathering this information and explore factors that can have an impact on your negotiation.")</f>
        <v>To fully prepare for a negotiation, you need a detailed understanding of the other party. In this course, you'll learn methods for gathering this information and explore factors that can have an impact on your negotiation.</v>
      </c>
      <c r="E2" s="9" t="str">
        <f>IFERROR(__xludf.DUMMYFUNCTION("""COMPUTED_VALUE"""),"Global Citizenship")</f>
        <v>Global Citizenship</v>
      </c>
      <c r="F2" s="10" t="str">
        <f>IFERROR(__xludf.DUMMYFUNCTION("""COMPUTED_VALUE"""),"Zeit Akademie - Niels Van Quaquebeke")</f>
        <v>Zeit Akademie - Niels Van Quaquebeke</v>
      </c>
      <c r="G2" s="11">
        <f>IFERROR(__xludf.DUMMYFUNCTION("""COMPUTED_VALUE"""),27.0)</f>
        <v>27</v>
      </c>
      <c r="H2" s="11">
        <f>IFERROR(__xludf.DUMMYFUNCTION("""COMPUTED_VALUE"""),13.0)</f>
        <v>13</v>
      </c>
      <c r="I2" s="12" t="str">
        <f>IFERROR(__xludf.DUMMYFUNCTION("""COMPUTED_VALUE"""),"English, German")</f>
        <v>English, German</v>
      </c>
      <c r="J2" s="12" t="str">
        <f>IFERROR(__xludf.DUMMYFUNCTION("""COMPUTED_VALUE"""),"German")</f>
        <v>German</v>
      </c>
      <c r="K2" s="13">
        <f>IFERROR(__xludf.DUMMYFUNCTION("""COMPUTED_VALUE"""),45757.0)</f>
        <v>45757</v>
      </c>
      <c r="L2" s="14" t="str">
        <f>IFERROR(__xludf.DUMMYFUNCTION("""COMPUTED_VALUE"""),"https://masterplan.com/courses/psychologie-der-verhandlung-iv-den-uberblick-gewinnen")</f>
        <v>https://masterplan.com/courses/psychologie-der-verhandlung-iv-den-uberblick-gewinnen</v>
      </c>
    </row>
    <row r="3">
      <c r="A3" s="15" t="str">
        <f>IFERROR(__xludf.DUMMYFUNCTION("""COMPUTED_VALUE"""),"Was Innovation (außer guten Ideen) wirklich braucht")</f>
        <v>Was Innovation (außer guten Ideen) wirklich braucht</v>
      </c>
      <c r="B3" s="16" t="str">
        <f>IFERROR(__xludf.DUMMYFUNCTION("""COMPUTED_VALUE"""),"What Innovation Really Needs (Apart from Good Ideas)")</f>
        <v>What Innovation Really Needs (Apart from Good Ideas)</v>
      </c>
      <c r="C3" s="17" t="str">
        <f>IFERROR(__xludf.DUMMYFUNCTION("""COMPUTED_VALUE"""),"Innovation = Gute Ideen? Klar, es sei denn, sie verkümmern auf dem Weg durch die Organisation. ")</f>
        <v>Innovation = Gute Ideen? Klar, es sei denn, sie verkümmern auf dem Weg durch die Organisation. </v>
      </c>
      <c r="D3" s="17" t="str">
        <f>IFERROR(__xludf.DUMMYFUNCTION("""COMPUTED_VALUE"""),"Innovation = good ideas? Sure, unless they wither on their way through the organization. ")</f>
        <v>Innovation = good ideas? Sure, unless they wither on their way through the organization. </v>
      </c>
      <c r="E3" s="18" t="str">
        <f>IFERROR(__xludf.DUMMYFUNCTION("""COMPUTED_VALUE"""),"Creativity and Innovation")</f>
        <v>Creativity and Innovation</v>
      </c>
      <c r="F3" s="19" t="str">
        <f>IFERROR(__xludf.DUMMYFUNCTION("""COMPUTED_VALUE"""),"Metaplan - Lars Gaede")</f>
        <v>Metaplan - Lars Gaede</v>
      </c>
      <c r="G3" s="20">
        <f>IFERROR(__xludf.DUMMYFUNCTION("""COMPUTED_VALUE"""),62.0)</f>
        <v>62</v>
      </c>
      <c r="H3" s="20">
        <f>IFERROR(__xludf.DUMMYFUNCTION("""COMPUTED_VALUE"""),32.0)</f>
        <v>32</v>
      </c>
      <c r="I3" s="21" t="str">
        <f>IFERROR(__xludf.DUMMYFUNCTION("""COMPUTED_VALUE"""),"English, German")</f>
        <v>English, German</v>
      </c>
      <c r="J3" s="21" t="str">
        <f>IFERROR(__xludf.DUMMYFUNCTION("""COMPUTED_VALUE"""),"English, German")</f>
        <v>English, German</v>
      </c>
      <c r="K3" s="22">
        <f>IFERROR(__xludf.DUMMYFUNCTION("""COMPUTED_VALUE"""),45750.0)</f>
        <v>45750</v>
      </c>
      <c r="L3" s="23" t="str">
        <f>IFERROR(__xludf.DUMMYFUNCTION("""COMPUTED_VALUE"""),"https://masterplan.com/courses/was-innovation-ausser-guten-ideen-wirklich-braucht")</f>
        <v>https://masterplan.com/courses/was-innovation-ausser-guten-ideen-wirklich-braucht</v>
      </c>
    </row>
    <row r="4">
      <c r="A4" s="6" t="str">
        <f>IFERROR(__xludf.DUMMYFUNCTION("""COMPUTED_VALUE"""),"Psychologie der Verhandlung III: Sich selbst und andere verstehen")</f>
        <v>Psychologie der Verhandlung III: Sich selbst und andere verstehen</v>
      </c>
      <c r="B4" s="7" t="str">
        <f>IFERROR(__xludf.DUMMYFUNCTION("""COMPUTED_VALUE"""),"Psychology of Negotiation III: Understanding Yourself and Others")</f>
        <v>Psychology of Negotiation III: Understanding Yourself and Others</v>
      </c>
      <c r="C4" s="8" t="str">
        <f>IFERROR(__xludf.DUMMYFUNCTION("""COMPUTED_VALUE"""),"Gute Vorbereitung macht den Unterschied! Du musst nicht nur wissen, was du erreichen willst. Wie die andere Seite tickt ist genauso ausschlaggebend für den Erfolg. In diesem Kurs zeigt dir Niels van Quaquebeke, was du vor einer Verhandlung beachten sollte"&amp;"st.")</f>
        <v>Gute Vorbereitung macht den Unterschied! Du musst nicht nur wissen, was du erreichen willst. Wie die andere Seite tickt ist genauso ausschlaggebend für den Erfolg. In diesem Kurs zeigt dir Niels van Quaquebeke, was du vor einer Verhandlung beachten solltest.</v>
      </c>
      <c r="D4" s="8" t="str">
        <f>IFERROR(__xludf.DUMMYFUNCTION("""COMPUTED_VALUE"""),"Preparation makes all the difference! It's not just about knowing what you want to achieve. What makes the other side tick is just as critical to success. In this course, Niels van Quaquebeke shows you what you should consider before a negotiation.")</f>
        <v>Preparation makes all the difference! It's not just about knowing what you want to achieve. What makes the other side tick is just as critical to success. In this course, Niels van Quaquebeke shows you what you should consider before a negotiation.</v>
      </c>
      <c r="E4" s="9" t="str">
        <f>IFERROR(__xludf.DUMMYFUNCTION("""COMPUTED_VALUE"""),"Global Citizenship")</f>
        <v>Global Citizenship</v>
      </c>
      <c r="F4" s="10" t="str">
        <f>IFERROR(__xludf.DUMMYFUNCTION("""COMPUTED_VALUE"""),"Zeit Akademie - Niels Van Quaquebeke")</f>
        <v>Zeit Akademie - Niels Van Quaquebeke</v>
      </c>
      <c r="G4" s="11">
        <f>IFERROR(__xludf.DUMMYFUNCTION("""COMPUTED_VALUE"""),47.0)</f>
        <v>47</v>
      </c>
      <c r="H4" s="11">
        <f>IFERROR(__xludf.DUMMYFUNCTION("""COMPUTED_VALUE"""),27.0)</f>
        <v>27</v>
      </c>
      <c r="I4" s="12" t="str">
        <f>IFERROR(__xludf.DUMMYFUNCTION("""COMPUTED_VALUE"""),"English, German")</f>
        <v>English, German</v>
      </c>
      <c r="J4" s="12" t="str">
        <f>IFERROR(__xludf.DUMMYFUNCTION("""COMPUTED_VALUE"""),"German")</f>
        <v>German</v>
      </c>
      <c r="K4" s="13">
        <f>IFERROR(__xludf.DUMMYFUNCTION("""COMPUTED_VALUE"""),45744.0)</f>
        <v>45744</v>
      </c>
      <c r="L4" s="14" t="str">
        <f>IFERROR(__xludf.DUMMYFUNCTION("""COMPUTED_VALUE"""),"https://masterplan.com/courses/psychologie-der-verhandlung-iii-sich-selbst-und-andere-verstehen")</f>
        <v>https://masterplan.com/courses/psychologie-der-verhandlung-iii-sich-selbst-und-andere-verstehen</v>
      </c>
    </row>
    <row r="5">
      <c r="A5" s="15" t="str">
        <f>IFERROR(__xludf.DUMMYFUNCTION("""COMPUTED_VALUE"""),"Psychologie der Verhandlung II: 3 Grundmodelle")</f>
        <v>Psychologie der Verhandlung II: 3 Grundmodelle</v>
      </c>
      <c r="B5" s="16" t="str">
        <f>IFERROR(__xludf.DUMMYFUNCTION("""COMPUTED_VALUE"""),"Psychology of Negotiation II: 3 Basic Models")</f>
        <v>Psychology of Negotiation II: 3 Basic Models</v>
      </c>
      <c r="C5" s="17" t="str">
        <f>IFERROR(__xludf.DUMMYFUNCTION("""COMPUTED_VALUE"""),"Was kostet eigentlich ein Rabatt? Und was hat der Zinseszinseffekt mit Verhandlungen zu tun? In diesem Kurs zeigt dir Niels van Quaquebeke, wie du mit kleinen Veränderungen große Wirkung erzielen und deine Verhandlungsstrategien nachhaltig optimieren kann"&amp;"st.")</f>
        <v>Was kostet eigentlich ein Rabatt? Und was hat der Zinseszinseffekt mit Verhandlungen zu tun? In diesem Kurs zeigt dir Niels van Quaquebeke, wie du mit kleinen Veränderungen große Wirkung erzielen und deine Verhandlungsstrategien nachhaltig optimieren kannst.</v>
      </c>
      <c r="D5" s="17" t="str">
        <f>IFERROR(__xludf.DUMMYFUNCTION("""COMPUTED_VALUE"""),"What is the true cost of a discount? And what does compound interest have to do with negotiations? In this course, Niels van Quaquebeke shows you how small changes can lead to big results and how to optimize your negotiation strategies in a sustainable wa"&amp;"y.")</f>
        <v>What is the true cost of a discount? And what does compound interest have to do with negotiations? In this course, Niels van Quaquebeke shows you how small changes can lead to big results and how to optimize your negotiation strategies in a sustainable way.</v>
      </c>
      <c r="E5" s="9" t="str">
        <f>IFERROR(__xludf.DUMMYFUNCTION("""COMPUTED_VALUE"""),"Global Citizenship")</f>
        <v>Global Citizenship</v>
      </c>
      <c r="F5" s="19" t="str">
        <f>IFERROR(__xludf.DUMMYFUNCTION("""COMPUTED_VALUE"""),"Zeit Akademie - Niels Van Quaquebeke")</f>
        <v>Zeit Akademie - Niels Van Quaquebeke</v>
      </c>
      <c r="G5" s="20">
        <f>IFERROR(__xludf.DUMMYFUNCTION("""COMPUTED_VALUE"""),34.0)</f>
        <v>34</v>
      </c>
      <c r="H5" s="20">
        <f>IFERROR(__xludf.DUMMYFUNCTION("""COMPUTED_VALUE"""),19.0)</f>
        <v>19</v>
      </c>
      <c r="I5" s="21" t="str">
        <f>IFERROR(__xludf.DUMMYFUNCTION("""COMPUTED_VALUE"""),"English, German")</f>
        <v>English, German</v>
      </c>
      <c r="J5" s="21" t="str">
        <f>IFERROR(__xludf.DUMMYFUNCTION("""COMPUTED_VALUE"""),"German")</f>
        <v>German</v>
      </c>
      <c r="K5" s="22">
        <f>IFERROR(__xludf.DUMMYFUNCTION("""COMPUTED_VALUE"""),45730.0)</f>
        <v>45730</v>
      </c>
      <c r="L5" s="23" t="str">
        <f>IFERROR(__xludf.DUMMYFUNCTION("""COMPUTED_VALUE"""),"https://masterplan.com/courses/psychologie-der-verhandlung-ii-3-grundmodelle")</f>
        <v>https://masterplan.com/courses/psychologie-der-verhandlung-ii-3-grundmodelle</v>
      </c>
    </row>
    <row r="6">
      <c r="A6" s="6" t="str">
        <f>IFERROR(__xludf.DUMMYFUNCTION("""COMPUTED_VALUE"""),"Psychologie der Verhandlung I: Die Basics")</f>
        <v>Psychologie der Verhandlung I: Die Basics</v>
      </c>
      <c r="B6" s="7" t="str">
        <f>IFERROR(__xludf.DUMMYFUNCTION("""COMPUTED_VALUE"""),"Psychology of Negotiation I: The Basics")</f>
        <v>Psychology of Negotiation I: The Basics</v>
      </c>
      <c r="C6" s="8" t="str">
        <f>IFERROR(__xludf.DUMMYFUNCTION("""COMPUTED_VALUE"""),"Verhandeln ist wie Tanzen - auf den richtigen Rhythmus kommt es an! In diesem Kurs zeigt dir Prof. Niels van Quaquebeke die Grundlagen der Verhandlungspsychologie. Lerne, psychologische Hürden zu überwinden und Verhandlungen souveräner zu meistern.")</f>
        <v>Verhandeln ist wie Tanzen - auf den richtigen Rhythmus kommt es an! In diesem Kurs zeigt dir Prof. Niels van Quaquebeke die Grundlagen der Verhandlungspsychologie. Lerne, psychologische Hürden zu überwinden und Verhandlungen souveräner zu meistern.</v>
      </c>
      <c r="D6" s="8" t="str">
        <f>IFERROR(__xludf.DUMMYFUNCTION("""COMPUTED_VALUE"""),"Negotiating is like dancing – it's all about finding the right rhythm! In this course, Prof. Niels van Quaquebeke will teach you the basics of negotiation psychology. Learn how to overcome psychological hurdles and negotiate with confidence.")</f>
        <v>Negotiating is like dancing – it's all about finding the right rhythm! In this course, Prof. Niels van Quaquebeke will teach you the basics of negotiation psychology. Learn how to overcome psychological hurdles and negotiate with confidence.</v>
      </c>
      <c r="E6" s="9" t="str">
        <f>IFERROR(__xludf.DUMMYFUNCTION("""COMPUTED_VALUE"""),"Global Citizenship")</f>
        <v>Global Citizenship</v>
      </c>
      <c r="F6" s="10" t="str">
        <f>IFERROR(__xludf.DUMMYFUNCTION("""COMPUTED_VALUE"""),"Zeit Akademie - Niels Van Quaquebeke")</f>
        <v>Zeit Akademie - Niels Van Quaquebeke</v>
      </c>
      <c r="G6" s="11">
        <f>IFERROR(__xludf.DUMMYFUNCTION("""COMPUTED_VALUE"""),19.0)</f>
        <v>19</v>
      </c>
      <c r="H6" s="11">
        <f>IFERROR(__xludf.DUMMYFUNCTION("""COMPUTED_VALUE"""),15.0)</f>
        <v>15</v>
      </c>
      <c r="I6" s="12" t="str">
        <f>IFERROR(__xludf.DUMMYFUNCTION("""COMPUTED_VALUE"""),"English, German")</f>
        <v>English, German</v>
      </c>
      <c r="J6" s="12" t="str">
        <f>IFERROR(__xludf.DUMMYFUNCTION("""COMPUTED_VALUE"""),"German")</f>
        <v>German</v>
      </c>
      <c r="K6" s="13">
        <f>IFERROR(__xludf.DUMMYFUNCTION("""COMPUTED_VALUE"""),45712.0)</f>
        <v>45712</v>
      </c>
      <c r="L6" s="14" t="str">
        <f>IFERROR(__xludf.DUMMYFUNCTION("""COMPUTED_VALUE"""),"https://masterplan.com/courses/psychologie-der-verhandlung-i-die-basics")</f>
        <v>https://masterplan.com/courses/psychologie-der-verhandlung-i-die-basics</v>
      </c>
    </row>
    <row r="7">
      <c r="A7" s="15" t="str">
        <f>IFERROR(__xludf.DUMMYFUNCTION("""COMPUTED_VALUE"""),"Der Weg zum aktiven Lernen")</f>
        <v>Der Weg zum aktiven Lernen</v>
      </c>
      <c r="B7" s="16" t="str">
        <f>IFERROR(__xludf.DUMMYFUNCTION("""COMPUTED_VALUE"""),"The Path to Active Learning")</f>
        <v>The Path to Active Learning</v>
      </c>
      <c r="C7" s="17" t="str">
        <f>IFERROR(__xludf.DUMMYFUNCTION("""COMPUTED_VALUE"""),"Von der letzten Fortbildung ist nichts hängen geblieben? So geht's vielen von uns. Aber was kannst du dagegen tun? In diesem Kurs zeigen dir Nina Schwarting und Aaron Keilhau, wie du vom passiven zum aktiven Lernen kommst und dein neues Wissen nachhaltig "&amp;"verinnerlichst.")</f>
        <v>Von der letzten Fortbildung ist nichts hängen geblieben? So geht's vielen von uns. Aber was kannst du dagegen tun? In diesem Kurs zeigen dir Nina Schwarting und Aaron Keilhau, wie du vom passiven zum aktiven Lernen kommst und dein neues Wissen nachhaltig verinnerlichst.</v>
      </c>
      <c r="D7" s="17" t="str">
        <f>IFERROR(__xludf.DUMMYFUNCTION("""COMPUTED_VALUE"""),"Can't remember much from your last training? You're not alone. But what can you do about it? In this course, Nina Schwarting and Aaron Keilhau will show you how to break free from passive learning, use active strategies, and make your new knowledge stick.")</f>
        <v>Can't remember much from your last training? You're not alone. But what can you do about it? In this course, Nina Schwarting and Aaron Keilhau will show you how to break free from passive learning, use active strategies, and make your new knowledge stick.</v>
      </c>
      <c r="E7" s="24" t="str">
        <f>IFERROR(__xludf.DUMMYFUNCTION("""COMPUTED_VALUE"""),"Emotional Intelligence")</f>
        <v>Emotional Intelligence</v>
      </c>
      <c r="F7" s="19" t="str">
        <f>IFERROR(__xludf.DUMMYFUNCTION("""COMPUTED_VALUE"""),"Cleer - Nina Schwarting, Aaron Keilhau")</f>
        <v>Cleer - Nina Schwarting, Aaron Keilhau</v>
      </c>
      <c r="G7" s="20">
        <f>IFERROR(__xludf.DUMMYFUNCTION("""COMPUTED_VALUE"""),28.0)</f>
        <v>28</v>
      </c>
      <c r="H7" s="20">
        <f>IFERROR(__xludf.DUMMYFUNCTION("""COMPUTED_VALUE"""),17.0)</f>
        <v>17</v>
      </c>
      <c r="I7" s="21" t="str">
        <f>IFERROR(__xludf.DUMMYFUNCTION("""COMPUTED_VALUE"""),"English, German")</f>
        <v>English, German</v>
      </c>
      <c r="J7" s="21" t="str">
        <f>IFERROR(__xludf.DUMMYFUNCTION("""COMPUTED_VALUE"""),"English, German")</f>
        <v>English, German</v>
      </c>
      <c r="K7" s="22">
        <f>IFERROR(__xludf.DUMMYFUNCTION("""COMPUTED_VALUE"""),45708.0)</f>
        <v>45708</v>
      </c>
      <c r="L7" s="23" t="str">
        <f>IFERROR(__xludf.DUMMYFUNCTION("""COMPUTED_VALUE"""),"https://masterplan.com/courses/der-weg-zum-aktiven-lernen")</f>
        <v>https://masterplan.com/courses/der-weg-zum-aktiven-lernen</v>
      </c>
    </row>
    <row r="8">
      <c r="A8" s="6" t="str">
        <f>IFERROR(__xludf.DUMMYFUNCTION("""COMPUTED_VALUE"""),"Einfach mal nichts tun: Das Default Mode Network")</f>
        <v>Einfach mal nichts tun: Das Default Mode Network</v>
      </c>
      <c r="B8" s="7" t="str">
        <f>IFERROR(__xludf.DUMMYFUNCTION("""COMPUTED_VALUE"""),"Do Nothing, Be Productive: The Default Mode Network")</f>
        <v>Do Nothing, Be Productive: The Default Mode Network</v>
      </c>
      <c r="C8" s="8" t="str">
        <f>IFERROR(__xludf.DUMMYFUNCTION("""COMPUTED_VALUE"""),"Auf Kommando kreativ sein ist unfassbar schwierig. Da ist doch einfach mal “nichts” machen eine denkbar einfache Lösung, nicht wahr? Warum das süße Nichtstun unsere Kreativät ankurbelt und die besten Ideen ans Tageslicht befördert, erklären wir dir in die"&amp;"sem Short!")</f>
        <v>Auf Kommando kreativ sein ist unfassbar schwierig. Da ist doch einfach mal “nichts” machen eine denkbar einfache Lösung, nicht wahr? Warum das süße Nichtstun unsere Kreativät ankurbelt und die besten Ideen ans Tageslicht befördert, erklären wir dir in diesem Short!</v>
      </c>
      <c r="D8" s="8" t="str">
        <f>IFERROR(__xludf.DUMMYFUNCTION("""COMPUTED_VALUE"""),"Being creative on command is incredibly challenging. Wouldn't it be great if ""doing nothing"" could be the easy solution? Discover how sweet idleness can spark your creativity and bring your best ideas to light in this Short!")</f>
        <v>Being creative on command is incredibly challenging. Wouldn't it be great if "doing nothing" could be the easy solution? Discover how sweet idleness can spark your creativity and bring your best ideas to light in this Short!</v>
      </c>
      <c r="E8" s="18" t="str">
        <f>IFERROR(__xludf.DUMMYFUNCTION("""COMPUTED_VALUE"""),"Creativity and Innovation")</f>
        <v>Creativity and Innovation</v>
      </c>
      <c r="F8" s="10" t="str">
        <f>IFERROR(__xludf.DUMMYFUNCTION("""COMPUTED_VALUE"""),"Masterplan - Sabine Pickett")</f>
        <v>Masterplan - Sabine Pickett</v>
      </c>
      <c r="G8" s="11">
        <f>IFERROR(__xludf.DUMMYFUNCTION("""COMPUTED_VALUE"""),3.0)</f>
        <v>3</v>
      </c>
      <c r="H8" s="11">
        <f>IFERROR(__xludf.DUMMYFUNCTION("""COMPUTED_VALUE"""),3.0)</f>
        <v>3</v>
      </c>
      <c r="I8" s="12" t="str">
        <f>IFERROR(__xludf.DUMMYFUNCTION("""COMPUTED_VALUE"""),"English, German")</f>
        <v>English, German</v>
      </c>
      <c r="J8" s="12" t="str">
        <f>IFERROR(__xludf.DUMMYFUNCTION("""COMPUTED_VALUE"""),"English, German")</f>
        <v>English, German</v>
      </c>
      <c r="K8" s="13">
        <f>IFERROR(__xludf.DUMMYFUNCTION("""COMPUTED_VALUE"""),45687.0)</f>
        <v>45687</v>
      </c>
      <c r="L8" s="14" t="str">
        <f>IFERROR(__xludf.DUMMYFUNCTION("""COMPUTED_VALUE"""),"https://masterplan.com/courses/mp-shorts-einfach-mal-nichts-tun-das-default-mode-network")</f>
        <v>https://masterplan.com/courses/mp-shorts-einfach-mal-nichts-tun-das-default-mode-network</v>
      </c>
    </row>
    <row r="9">
      <c r="A9" s="15" t="str">
        <f>IFERROR(__xludf.DUMMYFUNCTION("""COMPUTED_VALUE"""),"Der EU-AI-Act: Alles, was du wissen musst")</f>
        <v>Der EU-AI-Act: Alles, was du wissen musst</v>
      </c>
      <c r="B9" s="16" t="str">
        <f>IFERROR(__xludf.DUMMYFUNCTION("""COMPUTED_VALUE"""),"The EU AI-Act: All You Need to Know")</f>
        <v>The EU AI-Act: All You Need to Know</v>
      </c>
      <c r="C9" s="17" t="str">
        <f>IFERROR(__xludf.DUMMYFUNCTION("""COMPUTED_VALUE"""),"Kernenergie im Garten und KI, die Bewerbungen bewertet: Fluch oder doch Segen? Die EU KI-Verordnung soll dafür sorgen, dass deine Grundrechte auch im KI-Zeitalter geschützt bleiben. Erfahre hier, was das konkret für dich bedeutet!")</f>
        <v>Kernenergie im Garten und KI, die Bewerbungen bewertet: Fluch oder doch Segen? Die EU KI-Verordnung soll dafür sorgen, dass deine Grundrechte auch im KI-Zeitalter geschützt bleiben. Erfahre hier, was das konkret für dich bedeutet!</v>
      </c>
      <c r="D9" s="17" t="str">
        <f>IFERROR(__xludf.DUMMYFUNCTION("""COMPUTED_VALUE"""),"Nuclear power in your backyard and AI deciding who gets hired: A curse or a blessing? The EU AI Act is here to protect your fundamental rights in the age of AI. Find out what this means for you!")</f>
        <v>Nuclear power in your backyard and AI deciding who gets hired: A curse or a blessing? The EU AI Act is here to protect your fundamental rights in the age of AI. Find out what this means for you!</v>
      </c>
      <c r="E9" s="9" t="str">
        <f>IFERROR(__xludf.DUMMYFUNCTION("""COMPUTED_VALUE"""),"Mandatory Training")</f>
        <v>Mandatory Training</v>
      </c>
      <c r="F9" s="19" t="str">
        <f>IFERROR(__xludf.DUMMYFUNCTION("""COMPUTED_VALUE"""),"Masterplan - Matthew Wood")</f>
        <v>Masterplan - Matthew Wood</v>
      </c>
      <c r="G9" s="20">
        <f>IFERROR(__xludf.DUMMYFUNCTION("""COMPUTED_VALUE"""),32.0)</f>
        <v>32</v>
      </c>
      <c r="H9" s="20">
        <f>IFERROR(__xludf.DUMMYFUNCTION("""COMPUTED_VALUE"""),26.0)</f>
        <v>26</v>
      </c>
      <c r="I9" s="21" t="str">
        <f>IFERROR(__xludf.DUMMYFUNCTION("""COMPUTED_VALUE"""),"English, German")</f>
        <v>English, German</v>
      </c>
      <c r="J9" s="21" t="str">
        <f>IFERROR(__xludf.DUMMYFUNCTION("""COMPUTED_VALUE"""),"English, German")</f>
        <v>English, German</v>
      </c>
      <c r="K9" s="22">
        <f>IFERROR(__xludf.DUMMYFUNCTION("""COMPUTED_VALUE"""),45685.0)</f>
        <v>45685</v>
      </c>
      <c r="L9" s="23" t="str">
        <f>IFERROR(__xludf.DUMMYFUNCTION("""COMPUTED_VALUE"""),"https://masterplan.com/courses/der-eu-ai-act-alles-was-du-wissen-musst")</f>
        <v>https://masterplan.com/courses/der-eu-ai-act-alles-was-du-wissen-musst</v>
      </c>
    </row>
    <row r="10">
      <c r="A10" s="6" t="str">
        <f>IFERROR(__xludf.DUMMYFUNCTION("""COMPUTED_VALUE"""),"Kreativ werden mit der Walt-Disney-Methode")</f>
        <v>Kreativ werden mit der Walt-Disney-Methode</v>
      </c>
      <c r="B10" s="7" t="str">
        <f>IFERROR(__xludf.DUMMYFUNCTION("""COMPUTED_VALUE"""),"Get Creative With the Walt Disney Method")</f>
        <v>Get Creative With the Walt Disney Method</v>
      </c>
      <c r="C10" s="8" t="str">
        <f>IFERROR(__xludf.DUMMYFUNCTION("""COMPUTED_VALUE"""),"Der US-amerikanische Trickfilmzeichner und Filmproduzent Walt Disney eroberte mit Mickey Maus und Co. weltweit die Herzen von Generationen. Sein Erfolgsrezept? Seine schier grenzenlose Fantasie – und die erweckte er mit einer simplen Kreativitätstechnik z"&amp;"um Leben...")</f>
        <v>Der US-amerikanische Trickfilmzeichner und Filmproduzent Walt Disney eroberte mit Mickey Maus und Co. weltweit die Herzen von Generationen. Sein Erfolgsrezept? Seine schier grenzenlose Fantasie – und die erweckte er mit einer simplen Kreativitätstechnik zum Leben...</v>
      </c>
      <c r="D10" s="8" t="str">
        <f>IFERROR(__xludf.DUMMYFUNCTION("""COMPUTED_VALUE"""),"American animator and film producer Walt Disney captured the hearts of generations around the world with Mickey Mouse and friends. His secret to success? His seemingly endless imagination -- brought to life with a simple creativity technique...")</f>
        <v>American animator and film producer Walt Disney captured the hearts of generations around the world with Mickey Mouse and friends. His secret to success? His seemingly endless imagination -- brought to life with a simple creativity technique...</v>
      </c>
      <c r="E10" s="18" t="str">
        <f>IFERROR(__xludf.DUMMYFUNCTION("""COMPUTED_VALUE"""),"Creativity and Innovation")</f>
        <v>Creativity and Innovation</v>
      </c>
      <c r="F10" s="10" t="str">
        <f>IFERROR(__xludf.DUMMYFUNCTION("""COMPUTED_VALUE"""),"Masterplan - Sabine Pickett")</f>
        <v>Masterplan - Sabine Pickett</v>
      </c>
      <c r="G10" s="11">
        <f>IFERROR(__xludf.DUMMYFUNCTION("""COMPUTED_VALUE"""),3.0)</f>
        <v>3</v>
      </c>
      <c r="H10" s="11">
        <f>IFERROR(__xludf.DUMMYFUNCTION("""COMPUTED_VALUE"""),3.0)</f>
        <v>3</v>
      </c>
      <c r="I10" s="12" t="str">
        <f>IFERROR(__xludf.DUMMYFUNCTION("""COMPUTED_VALUE"""),"English, German")</f>
        <v>English, German</v>
      </c>
      <c r="J10" s="12" t="str">
        <f>IFERROR(__xludf.DUMMYFUNCTION("""COMPUTED_VALUE"""),"English, German")</f>
        <v>English, German</v>
      </c>
      <c r="K10" s="13">
        <f>IFERROR(__xludf.DUMMYFUNCTION("""COMPUTED_VALUE"""),45679.0)</f>
        <v>45679</v>
      </c>
      <c r="L10" s="14" t="str">
        <f>IFERROR(__xludf.DUMMYFUNCTION("""COMPUTED_VALUE"""),"https://masterplan.com/courses/mp-shorts-kreativ-werden-mit-der-walt-disney-methode")</f>
        <v>https://masterplan.com/courses/mp-shorts-kreativ-werden-mit-der-walt-disney-methode</v>
      </c>
    </row>
    <row r="11">
      <c r="A11" s="15" t="str">
        <f>IFERROR(__xludf.DUMMYFUNCTION("""COMPUTED_VALUE"""),"Mit KI Prozesse automatisieren")</f>
        <v>Mit KI Prozesse automatisieren</v>
      </c>
      <c r="B11" s="16" t="str">
        <f>IFERROR(__xludf.DUMMYFUNCTION("""COMPUTED_VALUE"""),"Automating Processes with AI")</f>
        <v>Automating Processes with AI</v>
      </c>
      <c r="C11" s="17" t="str">
        <f>IFERROR(__xludf.DUMMYFUNCTION("""COMPUTED_VALUE"""),"Nutze das Potenzial von KI, um dein Unternehmen produktiver zu machen. In diesem Tutorial erklärt Gianluca Mauro, ein anerkannter KI-Experte, wie KI deine Prozesse verbessern kann: Als reines Hilfsmittel, als automatisierter Prozess, ja sogar als Tool für"&amp;" Innovation.")</f>
        <v>Nutze das Potenzial von KI, um dein Unternehmen produktiver zu machen. In diesem Tutorial erklärt Gianluca Mauro, ein anerkannter KI-Experte, wie KI deine Prozesse verbessern kann: Als reines Hilfsmittel, als automatisierter Prozess, ja sogar als Tool für Innovation.</v>
      </c>
      <c r="D11" s="17" t="str">
        <f>IFERROR(__xludf.DUMMYFUNCTION("""COMPUTED_VALUE"""),"Unlock the productivity potential of AI for your company with Gianluca Mauro. In this tutorial, the renowned expert in the field of AI will walk you through different ways of integrating AI into your processes, from augmentation, to automation towards inn"&amp;"ovation. ")</f>
        <v>Unlock the productivity potential of AI for your company with Gianluca Mauro. In this tutorial, the renowned expert in the field of AI will walk you through different ways of integrating AI into your processes, from augmentation, to automation towards innovation. </v>
      </c>
      <c r="E11" s="25" t="str">
        <f>IFERROR(__xludf.DUMMYFUNCTION("""COMPUTED_VALUE"""),"Digital Literacy")</f>
        <v>Digital Literacy</v>
      </c>
      <c r="F11" s="19" t="str">
        <f>IFERROR(__xludf.DUMMYFUNCTION("""COMPUTED_VALUE"""),"AI Academy - Gianluca Mauro")</f>
        <v>AI Academy - Gianluca Mauro</v>
      </c>
      <c r="G11" s="20">
        <f>IFERROR(__xludf.DUMMYFUNCTION("""COMPUTED_VALUE"""),63.0)</f>
        <v>63</v>
      </c>
      <c r="H11" s="20">
        <f>IFERROR(__xludf.DUMMYFUNCTION("""COMPUTED_VALUE"""),28.0)</f>
        <v>28</v>
      </c>
      <c r="I11" s="21" t="str">
        <f>IFERROR(__xludf.DUMMYFUNCTION("""COMPUTED_VALUE"""),"English, German")</f>
        <v>English, German</v>
      </c>
      <c r="J11" s="21" t="str">
        <f>IFERROR(__xludf.DUMMYFUNCTION("""COMPUTED_VALUE"""),"English, German")</f>
        <v>English, German</v>
      </c>
      <c r="K11" s="22">
        <f>IFERROR(__xludf.DUMMYFUNCTION("""COMPUTED_VALUE"""),45616.0)</f>
        <v>45616</v>
      </c>
      <c r="L11" s="23" t="str">
        <f>IFERROR(__xludf.DUMMYFUNCTION("""COMPUTED_VALUE"""),"https://masterplan.com/courses/mit-ki-prozesse-automatisieren")</f>
        <v>https://masterplan.com/courses/mit-ki-prozesse-automatisieren</v>
      </c>
    </row>
    <row r="12">
      <c r="A12" s="6" t="str">
        <f>IFERROR(__xludf.DUMMYFUNCTION("""COMPUTED_VALUE"""),"Agile Teamarbeit V: Führung")</f>
        <v>Agile Teamarbeit V: Führung</v>
      </c>
      <c r="B12" s="7" t="str">
        <f>IFERROR(__xludf.DUMMYFUNCTION("""COMPUTED_VALUE"""),"Agile Teamwork V: Leadership")</f>
        <v>Agile Teamwork V: Leadership</v>
      </c>
      <c r="C12" s="8" t="str">
        <f>IFERROR(__xludf.DUMMYFUNCTION("""COMPUTED_VALUE"""),"Was ist die Rolle der Führungskraft, wenn ein Team autonom arbeitet? In diesem Kurs zeigen dir Flavia Bleuel und Dr. Selina Mayer die notwendigen Führungsqualitäten und wie du die Herausforderungen meisterst, die sich dir als Manager eines agilen Teams st"&amp;"ellen können.")</f>
        <v>Was ist die Rolle der Führungskraft, wenn ein Team autonom arbeitet? In diesem Kurs zeigen dir Flavia Bleuel und Dr. Selina Mayer die notwendigen Führungsqualitäten und wie du die Herausforderungen meisterst, die sich dir als Manager eines agilen Teams stellen können.</v>
      </c>
      <c r="D12" s="8" t="str">
        <f>IFERROR(__xludf.DUMMYFUNCTION("""COMPUTED_VALUE"""),"What does a manager even do when the team has so much autonomy? In this course, Flavia Bleuel and Dr. Selina Mayer teach you the necessary leadership skills and how to navigate the challenges you may face as a manager of an agile team.")</f>
        <v>What does a manager even do when the team has so much autonomy? In this course, Flavia Bleuel and Dr. Selina Mayer teach you the necessary leadership skills and how to navigate the challenges you may face as a manager of an agile team.</v>
      </c>
      <c r="E12" s="26" t="str">
        <f>IFERROR(__xludf.DUMMYFUNCTION("""COMPUTED_VALUE"""),"Collaboration and Leadership")</f>
        <v>Collaboration and Leadership</v>
      </c>
      <c r="F12" s="10" t="str">
        <f>IFERROR(__xludf.DUMMYFUNCTION("""COMPUTED_VALUE"""),"Zeit Akademie - Flavia Bleuel, Dr. Selina Mayer")</f>
        <v>Zeit Akademie - Flavia Bleuel, Dr. Selina Mayer</v>
      </c>
      <c r="G12" s="11">
        <f>IFERROR(__xludf.DUMMYFUNCTION("""COMPUTED_VALUE"""),54.0)</f>
        <v>54</v>
      </c>
      <c r="H12" s="11">
        <f>IFERROR(__xludf.DUMMYFUNCTION("""COMPUTED_VALUE"""),28.0)</f>
        <v>28</v>
      </c>
      <c r="I12" s="12" t="str">
        <f>IFERROR(__xludf.DUMMYFUNCTION("""COMPUTED_VALUE"""),"English, German")</f>
        <v>English, German</v>
      </c>
      <c r="J12" s="12" t="str">
        <f>IFERROR(__xludf.DUMMYFUNCTION("""COMPUTED_VALUE"""),"German")</f>
        <v>German</v>
      </c>
      <c r="K12" s="13">
        <f>IFERROR(__xludf.DUMMYFUNCTION("""COMPUTED_VALUE"""),45616.0)</f>
        <v>45616</v>
      </c>
      <c r="L12" s="14" t="str">
        <f>IFERROR(__xludf.DUMMYFUNCTION("""COMPUTED_VALUE"""),"https://masterplan.com/courses/agile-teamarbeit-v-fuhrung")</f>
        <v>https://masterplan.com/courses/agile-teamarbeit-v-fuhrung</v>
      </c>
    </row>
    <row r="13">
      <c r="A13" s="15" t="str">
        <f>IFERROR(__xludf.DUMMYFUNCTION("""COMPUTED_VALUE"""),"Lateral Thinking")</f>
        <v>Lateral Thinking</v>
      </c>
      <c r="B13" s="16" t="str">
        <f>IFERROR(__xludf.DUMMYFUNCTION("""COMPUTED_VALUE"""),"Lateral Thinking")</f>
        <v>Lateral Thinking</v>
      </c>
      <c r="C13" s="17" t="str">
        <f>IFERROR(__xludf.DUMMYFUNCTION("""COMPUTED_VALUE"""),"Unsere Art zu denken ist häufig ein Hindernis, wenn es darum geht, ein Problem zu lösen oder eine neue, kreative Idee zu entwickeln. Die Lösung? Einfach mal um die Ecke denken! Einfacher gesagt als getan, lässt sich aber erlernen...")</f>
        <v>Unsere Art zu denken ist häufig ein Hindernis, wenn es darum geht, ein Problem zu lösen oder eine neue, kreative Idee zu entwickeln. Die Lösung? Einfach mal um die Ecke denken! Einfacher gesagt als getan, lässt sich aber erlernen...</v>
      </c>
      <c r="D13" s="17" t="str">
        <f>IFERROR(__xludf.DUMMYFUNCTION("""COMPUTED_VALUE"""),"The way we think often holds us back from solving problems or coming up with new, creative ideas. The solution? Just think outside the box! Easier said than done, but it's a skill you can learn...")</f>
        <v>The way we think often holds us back from solving problems or coming up with new, creative ideas. The solution? Just think outside the box! Easier said than done, but it's a skill you can learn...</v>
      </c>
      <c r="E13" s="18" t="str">
        <f>IFERROR(__xludf.DUMMYFUNCTION("""COMPUTED_VALUE"""),"Creativity and Innovation")</f>
        <v>Creativity and Innovation</v>
      </c>
      <c r="F13" s="19" t="str">
        <f>IFERROR(__xludf.DUMMYFUNCTION("""COMPUTED_VALUE"""),"Masterplan - Sabine Pickett")</f>
        <v>Masterplan - Sabine Pickett</v>
      </c>
      <c r="G13" s="20">
        <f>IFERROR(__xludf.DUMMYFUNCTION("""COMPUTED_VALUE"""),8.0)</f>
        <v>8</v>
      </c>
      <c r="H13" s="20">
        <f>IFERROR(__xludf.DUMMYFUNCTION("""COMPUTED_VALUE"""),4.0)</f>
        <v>4</v>
      </c>
      <c r="I13" s="21" t="str">
        <f>IFERROR(__xludf.DUMMYFUNCTION("""COMPUTED_VALUE"""),"English, German")</f>
        <v>English, German</v>
      </c>
      <c r="J13" s="21" t="str">
        <f>IFERROR(__xludf.DUMMYFUNCTION("""COMPUTED_VALUE"""),"English, German")</f>
        <v>English, German</v>
      </c>
      <c r="K13" s="22">
        <f>IFERROR(__xludf.DUMMYFUNCTION("""COMPUTED_VALUE"""),45616.0)</f>
        <v>45616</v>
      </c>
      <c r="L13" s="23" t="str">
        <f>IFERROR(__xludf.DUMMYFUNCTION("""COMPUTED_VALUE"""),"https://masterplan.com/courses/mp-shorts-lateral-thinking")</f>
        <v>https://masterplan.com/courses/mp-shorts-lateral-thinking</v>
      </c>
    </row>
    <row r="14">
      <c r="A14" s="6" t="str">
        <f>IFERROR(__xludf.DUMMYFUNCTION("""COMPUTED_VALUE"""),"Copilot für Microsoft 365: Die KI für Microsoft Office")</f>
        <v>Copilot für Microsoft 365: Die KI für Microsoft Office</v>
      </c>
      <c r="B14" s="7" t="str">
        <f>IFERROR(__xludf.DUMMYFUNCTION("""COMPUTED_VALUE"""),"Copilot for Microsoft 365: The AI for Microsoft Office")</f>
        <v>Copilot for Microsoft 365: The AI for Microsoft Office</v>
      </c>
      <c r="C14" s="8" t="str">
        <f>IFERROR(__xludf.DUMMYFUNCTION("""COMPUTED_VALUE"""),"Mit Copilot stellt dir Microsoft einen KI-Assistenten an deine Seite – egal ob für Word, OneNote oder Teams. In diesem Kurs erfährst du, welche Funktionen Copilot für dich bereit hält und bekommst wertvolle Tipps für die unterschiedlichsten Anwendungsfäll"&amp;"e an die Hand.")</f>
        <v>Mit Copilot stellt dir Microsoft einen KI-Assistenten an deine Seite – egal ob für Word, OneNote oder Teams. In diesem Kurs erfährst du, welche Funktionen Copilot für dich bereit hält und bekommst wertvolle Tipps für die unterschiedlichsten Anwendungsfälle an die Hand.</v>
      </c>
      <c r="D14" s="8" t="str">
        <f>IFERROR(__xludf.DUMMYFUNCTION("""COMPUTED_VALUE"""),"Microsoft's Copilot is your new AI-powered assistant, ready to help you in Word, OneNote, Teams, and more. In this course, you'll discover the full range of Copilot's features and learn practical tips on how to use them effectively across various applicat"&amp;"ions.")</f>
        <v>Microsoft's Copilot is your new AI-powered assistant, ready to help you in Word, OneNote, Teams, and more. In this course, you'll discover the full range of Copilot's features and learn practical tips on how to use them effectively across various applications.</v>
      </c>
      <c r="E14" s="27" t="str">
        <f>IFERROR(__xludf.DUMMYFUNCTION("""COMPUTED_VALUE"""),"Tools &amp; Tutorials")</f>
        <v>Tools &amp; Tutorials</v>
      </c>
      <c r="F14" s="10" t="str">
        <f>IFERROR(__xludf.DUMMYFUNCTION("""COMPUTED_VALUE"""),"Zeit im Griff - Holger Wöltje")</f>
        <v>Zeit im Griff - Holger Wöltje</v>
      </c>
      <c r="G14" s="11">
        <f>IFERROR(__xludf.DUMMYFUNCTION("""COMPUTED_VALUE"""),65.0)</f>
        <v>65</v>
      </c>
      <c r="H14" s="11">
        <f>IFERROR(__xludf.DUMMYFUNCTION("""COMPUTED_VALUE"""),22.0)</f>
        <v>22</v>
      </c>
      <c r="I14" s="12" t="str">
        <f>IFERROR(__xludf.DUMMYFUNCTION("""COMPUTED_VALUE"""),"English, German")</f>
        <v>English, German</v>
      </c>
      <c r="J14" s="12" t="str">
        <f>IFERROR(__xludf.DUMMYFUNCTION("""COMPUTED_VALUE"""),"German")</f>
        <v>German</v>
      </c>
      <c r="K14" s="13">
        <f>IFERROR(__xludf.DUMMYFUNCTION("""COMPUTED_VALUE"""),45610.0)</f>
        <v>45610</v>
      </c>
      <c r="L14" s="14" t="str">
        <f>IFERROR(__xludf.DUMMYFUNCTION("""COMPUTED_VALUE"""),"https://masterplan.com/courses/copilot-fur-microsoft-365-die-ki-fur-microsoft-office")</f>
        <v>https://masterplan.com/courses/copilot-fur-microsoft-365-die-ki-fur-microsoft-office</v>
      </c>
    </row>
    <row r="15">
      <c r="A15" s="15" t="str">
        <f>IFERROR(__xludf.DUMMYFUNCTION("""COMPUTED_VALUE"""),"Der Kreativitätsmuskel")</f>
        <v>Der Kreativitätsmuskel</v>
      </c>
      <c r="B15" s="16" t="str">
        <f>IFERROR(__xludf.DUMMYFUNCTION("""COMPUTED_VALUE"""),"The Creativity Muscle")</f>
        <v>The Creativity Muscle</v>
      </c>
      <c r="C15" s="17" t="str">
        <f>IFERROR(__xludf.DUMMYFUNCTION("""COMPUTED_VALUE"""),"Neuroplastizität ist der Schlüssel zu mehr Kreativität! Anders als viele annehmen, ist Kreativität nämlich eine Fähigkeit, die sich mit dem richtigen Training (wieder) erlernen und lässt...")</f>
        <v>Neuroplastizität ist der Schlüssel zu mehr Kreativität! Anders als viele annehmen, ist Kreativität nämlich eine Fähigkeit, die sich mit dem richtigen Training (wieder) erlernen und lässt...</v>
      </c>
      <c r="D15" s="17" t="str">
        <f>IFERROR(__xludf.DUMMYFUNCTION("""COMPUTED_VALUE"""),"Unlock your creativity with neuroplasticity! Contrary to popular belief, creativity is a skill that can be learned (or relearned) with the right training...")</f>
        <v>Unlock your creativity with neuroplasticity! Contrary to popular belief, creativity is a skill that can be learned (or relearned) with the right training...</v>
      </c>
      <c r="E15" s="18" t="str">
        <f>IFERROR(__xludf.DUMMYFUNCTION("""COMPUTED_VALUE"""),"Creativity and Innovation")</f>
        <v>Creativity and Innovation</v>
      </c>
      <c r="F15" s="19" t="str">
        <f>IFERROR(__xludf.DUMMYFUNCTION("""COMPUTED_VALUE"""),"Masterplan - Sabine Pickett")</f>
        <v>Masterplan - Sabine Pickett</v>
      </c>
      <c r="G15" s="20">
        <f>IFERROR(__xludf.DUMMYFUNCTION("""COMPUTED_VALUE"""),9.0)</f>
        <v>9</v>
      </c>
      <c r="H15" s="20">
        <f>IFERROR(__xludf.DUMMYFUNCTION("""COMPUTED_VALUE"""),4.0)</f>
        <v>4</v>
      </c>
      <c r="I15" s="21" t="str">
        <f>IFERROR(__xludf.DUMMYFUNCTION("""COMPUTED_VALUE"""),"English, German")</f>
        <v>English, German</v>
      </c>
      <c r="J15" s="21" t="str">
        <f>IFERROR(__xludf.DUMMYFUNCTION("""COMPUTED_VALUE"""),"English, German")</f>
        <v>English, German</v>
      </c>
      <c r="K15" s="22">
        <f>IFERROR(__xludf.DUMMYFUNCTION("""COMPUTED_VALUE"""),45610.0)</f>
        <v>45610</v>
      </c>
      <c r="L15" s="23" t="str">
        <f>IFERROR(__xludf.DUMMYFUNCTION("""COMPUTED_VALUE"""),"https://masterplan.com/courses/mp-shorts-der-kreativitatsmuskel")</f>
        <v>https://masterplan.com/courses/mp-shorts-der-kreativitatsmuskel</v>
      </c>
    </row>
    <row r="16">
      <c r="A16" s="6" t="str">
        <f>IFERROR(__xludf.DUMMYFUNCTION("""COMPUTED_VALUE"""),"Konflikte vermeiden mit der LIMO Methode")</f>
        <v>Konflikte vermeiden mit der LIMO Methode</v>
      </c>
      <c r="B16" s="7" t="str">
        <f>IFERROR(__xludf.DUMMYFUNCTION("""COMPUTED_VALUE"""),"Avoid Conflict with the LIMO Method")</f>
        <v>Avoid Conflict with the LIMO Method</v>
      </c>
      <c r="C16" s="8" t="str">
        <f>IFERROR(__xludf.DUMMYFUNCTION("""COMPUTED_VALUE"""),"Von Loben, Interesse bekunden, Mängel ansprechen, Offenheit vermitteln – LIMO ist eine Gesprächstechnik, die darauf abzielt, eine positive Gesprächsatmosphäre zu schaffen und Vertrauen aufzubauen. Wie LIMO in der Praxis aussieht, lernst du in diesem Short"&amp;"!")</f>
        <v>Von Loben, Interesse bekunden, Mängel ansprechen, Offenheit vermitteln – LIMO ist eine Gesprächstechnik, die darauf abzielt, eine positive Gesprächsatmosphäre zu schaffen und Vertrauen aufzubauen. Wie LIMO in der Praxis aussieht, lernst du in diesem Short!</v>
      </c>
      <c r="D16" s="8" t="str">
        <f>IFERROR(__xludf.DUMMYFUNCTION("""COMPUTED_VALUE"""),"From giving praise and showing interest to addressing issues and communicating openness, LIMO is a conversation technique designed to create a positive atmosphere and build trust. Discover how LIMO works in practice in this Short!")</f>
        <v>From giving praise and showing interest to addressing issues and communicating openness, LIMO is a conversation technique designed to create a positive atmosphere and build trust. Discover how LIMO works in practice in this Short!</v>
      </c>
      <c r="E16" s="28" t="str">
        <f>IFERROR(__xludf.DUMMYFUNCTION("""COMPUTED_VALUE"""),"Communication")</f>
        <v>Communication</v>
      </c>
      <c r="F16" s="10" t="str">
        <f>IFERROR(__xludf.DUMMYFUNCTION("""COMPUTED_VALUE"""),"Masterplan - Nadine Wagenaar")</f>
        <v>Masterplan - Nadine Wagenaar</v>
      </c>
      <c r="G16" s="11">
        <f>IFERROR(__xludf.DUMMYFUNCTION("""COMPUTED_VALUE"""),2.0)</f>
        <v>2</v>
      </c>
      <c r="H16" s="11">
        <f>IFERROR(__xludf.DUMMYFUNCTION("""COMPUTED_VALUE"""),3.0)</f>
        <v>3</v>
      </c>
      <c r="I16" s="12" t="str">
        <f>IFERROR(__xludf.DUMMYFUNCTION("""COMPUTED_VALUE"""),"English, German")</f>
        <v>English, German</v>
      </c>
      <c r="J16" s="12" t="str">
        <f>IFERROR(__xludf.DUMMYFUNCTION("""COMPUTED_VALUE"""),"English, German")</f>
        <v>English, German</v>
      </c>
      <c r="K16" s="13">
        <f>IFERROR(__xludf.DUMMYFUNCTION("""COMPUTED_VALUE"""),45609.0)</f>
        <v>45609</v>
      </c>
      <c r="L16" s="14" t="str">
        <f>IFERROR(__xludf.DUMMYFUNCTION("""COMPUTED_VALUE"""),"https://masterplan.com/courses/mp-shorts-konflikte-vermeiden-mit-der-limo-methode")</f>
        <v>https://masterplan.com/courses/mp-shorts-konflikte-vermeiden-mit-der-limo-methode</v>
      </c>
    </row>
    <row r="17">
      <c r="A17" s="15" t="str">
        <f>IFERROR(__xludf.DUMMYFUNCTION("""COMPUTED_VALUE"""),"Agile Teamarbeit IV: Design Thinking")</f>
        <v>Agile Teamarbeit IV: Design Thinking</v>
      </c>
      <c r="B17" s="16" t="str">
        <f>IFERROR(__xludf.DUMMYFUNCTION("""COMPUTED_VALUE"""),"Agile Teamwork IV: Design Thinking")</f>
        <v>Agile Teamwork IV: Design Thinking</v>
      </c>
      <c r="C17" s="17" t="str">
        <f>IFERROR(__xludf.DUMMYFUNCTION("""COMPUTED_VALUE"""),"Manchmal ist Innovation aufregend, manchmal aber auch verwirrend und stressig. Hier kommt Design Thinking ins Spiel! In diesem Kurs erklären Experten diese agile Methode und vergleichen sie mit den Methoden Scrum und Lean Start-up.")</f>
        <v>Manchmal ist Innovation aufregend, manchmal aber auch verwirrend und stressig. Hier kommt Design Thinking ins Spiel! In diesem Kurs erklären Experten diese agile Methode und vergleichen sie mit den Methoden Scrum und Lean Start-up.</v>
      </c>
      <c r="D17" s="17" t="str">
        <f>IFERROR(__xludf.DUMMYFUNCTION("""COMPUTED_VALUE"""),"Sometimes innovation can be exciting, other times it's confusing and stressful. This is where Design Thinking comes in! In this course, our experts explain the agile method and also compare it to other methods such as Scrum and Lean Start-up.")</f>
        <v>Sometimes innovation can be exciting, other times it's confusing and stressful. This is where Design Thinking comes in! In this course, our experts explain the agile method and also compare it to other methods such as Scrum and Lean Start-up.</v>
      </c>
      <c r="E17" s="26" t="str">
        <f>IFERROR(__xludf.DUMMYFUNCTION("""COMPUTED_VALUE"""),"Collaboration and Leadership")</f>
        <v>Collaboration and Leadership</v>
      </c>
      <c r="F17" s="19" t="str">
        <f>IFERROR(__xludf.DUMMYFUNCTION("""COMPUTED_VALUE"""),"Zeit Akademie - Dr. Holger Rhinow")</f>
        <v>Zeit Akademie - Dr. Holger Rhinow</v>
      </c>
      <c r="G17" s="20">
        <f>IFERROR(__xludf.DUMMYFUNCTION("""COMPUTED_VALUE"""),78.0)</f>
        <v>78</v>
      </c>
      <c r="H17" s="20">
        <f>IFERROR(__xludf.DUMMYFUNCTION("""COMPUTED_VALUE"""),30.0)</f>
        <v>30</v>
      </c>
      <c r="I17" s="21" t="str">
        <f>IFERROR(__xludf.DUMMYFUNCTION("""COMPUTED_VALUE"""),"English, German")</f>
        <v>English, German</v>
      </c>
      <c r="J17" s="21" t="str">
        <f>IFERROR(__xludf.DUMMYFUNCTION("""COMPUTED_VALUE"""),"German")</f>
        <v>German</v>
      </c>
      <c r="K17" s="22">
        <f>IFERROR(__xludf.DUMMYFUNCTION("""COMPUTED_VALUE"""),45609.0)</f>
        <v>45609</v>
      </c>
      <c r="L17" s="23" t="str">
        <f>IFERROR(__xludf.DUMMYFUNCTION("""COMPUTED_VALUE"""),"https://masterplan.com/courses/agile-teamarbeit-iv-design-thinking")</f>
        <v>https://masterplan.com/courses/agile-teamarbeit-iv-design-thinking</v>
      </c>
    </row>
    <row r="18">
      <c r="A18" s="6" t="str">
        <f>IFERROR(__xludf.DUMMYFUNCTION("""COMPUTED_VALUE"""),"Dein KI-Toolkit")</f>
        <v>Dein KI-Toolkit</v>
      </c>
      <c r="B18" s="7" t="str">
        <f>IFERROR(__xludf.DUMMYFUNCTION("""COMPUTED_VALUE"""),"Your AI Toolkit")</f>
        <v>Your AI Toolkit</v>
      </c>
      <c r="C18" s="8" t="str">
        <f>IFERROR(__xludf.DUMMYFUNCTION("""COMPUTED_VALUE"""),"Du willst KI in deinem Arbeitsalltag verwenden, weißt aber nicht, wo du anfangen sollst? In diesem regelmäßig aktualisierten Kurs findest du ""Spickzettel"" und Anleitungen für verschiedene KI Werkzeuge. Einmal durchlesen und gleich loslegen – Reinschauen"&amp;" lohnt sich!")</f>
        <v>Du willst KI in deinem Arbeitsalltag verwenden, weißt aber nicht, wo du anfangen sollst? In diesem regelmäßig aktualisierten Kurs findest du "Spickzettel" und Anleitungen für verschiedene KI Werkzeuge. Einmal durchlesen und gleich loslegen – Reinschauen lohnt sich!</v>
      </c>
      <c r="D18" s="8" t="str">
        <f>IFERROR(__xludf.DUMMYFUNCTION("""COMPUTED_VALUE"""),"Want to use AI in your day-to-day work, but don't know where to start? In this regularly updated course you will find cheat sheets and tutorials for various AI tools. Check them out and get started immediately - it's worth a look!")</f>
        <v>Want to use AI in your day-to-day work, but don't know where to start? In this regularly updated course you will find cheat sheets and tutorials for various AI tools. Check them out and get started immediately - it's worth a look!</v>
      </c>
      <c r="E18" s="25" t="str">
        <f>IFERROR(__xludf.DUMMYFUNCTION("""COMPUTED_VALUE"""),"Digital Literacy")</f>
        <v>Digital Literacy</v>
      </c>
      <c r="F18" s="10" t="str">
        <f>IFERROR(__xludf.DUMMYFUNCTION("""COMPUTED_VALUE"""),"Masterplan")</f>
        <v>Masterplan</v>
      </c>
      <c r="G18" s="11">
        <f>IFERROR(__xludf.DUMMYFUNCTION("""COMPUTED_VALUE"""),47.0)</f>
        <v>47</v>
      </c>
      <c r="H18" s="11">
        <f>IFERROR(__xludf.DUMMYFUNCTION("""COMPUTED_VALUE"""),30.0)</f>
        <v>30</v>
      </c>
      <c r="I18" s="12" t="str">
        <f>IFERROR(__xludf.DUMMYFUNCTION("""COMPUTED_VALUE"""),"English, German")</f>
        <v>English, German</v>
      </c>
      <c r="J18" s="12" t="str">
        <f>IFERROR(__xludf.DUMMYFUNCTION("""COMPUTED_VALUE"""),"Text only")</f>
        <v>Text only</v>
      </c>
      <c r="K18" s="13">
        <f>IFERROR(__xludf.DUMMYFUNCTION("""COMPUTED_VALUE"""),45575.0)</f>
        <v>45575</v>
      </c>
      <c r="L18" s="14" t="str">
        <f>IFERROR(__xludf.DUMMYFUNCTION("""COMPUTED_VALUE"""),"https://masterplan.com/courses/dein-ki-toolkit")</f>
        <v>https://masterplan.com/courses/dein-ki-toolkit</v>
      </c>
    </row>
    <row r="19">
      <c r="A19" s="15" t="str">
        <f>IFERROR(__xludf.DUMMYFUNCTION("""COMPUTED_VALUE"""),"Auf Feedback reagieren: Das SARA-Modell")</f>
        <v>Auf Feedback reagieren: Das SARA-Modell</v>
      </c>
      <c r="B19" s="16" t="str">
        <f>IFERROR(__xludf.DUMMYFUNCTION("""COMPUTED_VALUE"""),"How to Handle Feedback: The SARA Model")</f>
        <v>How to Handle Feedback: The SARA Model</v>
      </c>
      <c r="C19" s="17" t="str">
        <f>IFERROR(__xludf.DUMMYFUNCTION("""COMPUTED_VALUE"""),"Wie fühlst du dich, wenn du negatives Feeback erhältst? Kritik führt meist zu einer Reihe von Reaktionen und Emotionen, die dabei einem bestimmten Muster folgen. In diesem Short werfen wir einen Blick auf die vier Phasen emotionaler Reaktionen – kurz SARA"&amp;".")</f>
        <v>Wie fühlst du dich, wenn du negatives Feeback erhältst? Kritik führt meist zu einer Reihe von Reaktionen und Emotionen, die dabei einem bestimmten Muster folgen. In diesem Short werfen wir einen Blick auf die vier Phasen emotionaler Reaktionen – kurz SARA.</v>
      </c>
      <c r="D19" s="17" t="str">
        <f>IFERROR(__xludf.DUMMYFUNCTION("""COMPUTED_VALUE"""),"How do you feel when you receive negative feedback? Criticism often triggers a range of emotions and reactions that usually follow a predictable pattern. In this Short, we'll explore the four stages of emotional responses - known as the SARA model.")</f>
        <v>How do you feel when you receive negative feedback? Criticism often triggers a range of emotions and reactions that usually follow a predictable pattern. In this Short, we'll explore the four stages of emotional responses - known as the SARA model.</v>
      </c>
      <c r="E19" s="28" t="str">
        <f>IFERROR(__xludf.DUMMYFUNCTION("""COMPUTED_VALUE"""),"Communication")</f>
        <v>Communication</v>
      </c>
      <c r="F19" s="19" t="str">
        <f>IFERROR(__xludf.DUMMYFUNCTION("""COMPUTED_VALUE"""),"Masterplan - Nadine Wagenaar")</f>
        <v>Masterplan - Nadine Wagenaar</v>
      </c>
      <c r="G19" s="20">
        <f>IFERROR(__xludf.DUMMYFUNCTION("""COMPUTED_VALUE"""),4.0)</f>
        <v>4</v>
      </c>
      <c r="H19" s="20">
        <f>IFERROR(__xludf.DUMMYFUNCTION("""COMPUTED_VALUE"""),3.0)</f>
        <v>3</v>
      </c>
      <c r="I19" s="21" t="str">
        <f>IFERROR(__xludf.DUMMYFUNCTION("""COMPUTED_VALUE"""),"English, German")</f>
        <v>English, German</v>
      </c>
      <c r="J19" s="21" t="str">
        <f>IFERROR(__xludf.DUMMYFUNCTION("""COMPUTED_VALUE"""),"English, German")</f>
        <v>English, German</v>
      </c>
      <c r="K19" s="22">
        <f>IFERROR(__xludf.DUMMYFUNCTION("""COMPUTED_VALUE"""),45572.0)</f>
        <v>45572</v>
      </c>
      <c r="L19" s="23" t="str">
        <f>IFERROR(__xludf.DUMMYFUNCTION("""COMPUTED_VALUE"""),"https://masterplan.com/courses/mp-shorts-auf-feedback-reagieren-das-sara-modell")</f>
        <v>https://masterplan.com/courses/mp-shorts-auf-feedback-reagieren-das-sara-modell</v>
      </c>
    </row>
    <row r="20">
      <c r="A20" s="6" t="str">
        <f>IFERROR(__xludf.DUMMYFUNCTION("""COMPUTED_VALUE"""),"Das kreative Gehirn")</f>
        <v>Das kreative Gehirn</v>
      </c>
      <c r="B20" s="7" t="str">
        <f>IFERROR(__xludf.DUMMYFUNCTION("""COMPUTED_VALUE"""),"The Creative Brain")</f>
        <v>The Creative Brain</v>
      </c>
      <c r="C20" s="8" t="str">
        <f>IFERROR(__xludf.DUMMYFUNCTION("""COMPUTED_VALUE"""),"Mit Kreativität machen wir nicht nur Kunst; wir lösen auch Probleme. Dieser Kurs zeigt, was dabei in unserem Gehirn passiert, was uns antreibt, aber auch was Kreativität stören kann und was Organisationen tun können, um die Kreativität ihrer Mitarbeiter z"&amp;"u fördern.")</f>
        <v>Mit Kreativität machen wir nicht nur Kunst; wir lösen auch Probleme. Dieser Kurs zeigt, was dabei in unserem Gehirn passiert, was uns antreibt, aber auch was Kreativität stören kann und was Organisationen tun können, um die Kreativität ihrer Mitarbeiter zu fördern.</v>
      </c>
      <c r="D20" s="8" t="str">
        <f>IFERROR(__xludf.DUMMYFUNCTION("""COMPUTED_VALUE"""),"We don't just employ creativity to make art; it also helps us solve problems. This course shows what happens in our brain when we're creative, what drives but also what can disrupt creativity and what organizations can do to promote the creativity of thei"&amp;"r employees.")</f>
        <v>We don't just employ creativity to make art; it also helps us solve problems. This course shows what happens in our brain when we're creative, what drives but also what can disrupt creativity and what organizations can do to promote the creativity of their employees.</v>
      </c>
      <c r="E20" s="18" t="str">
        <f>IFERROR(__xludf.DUMMYFUNCTION("""COMPUTED_VALUE"""),"Creativity and Innovation")</f>
        <v>Creativity and Innovation</v>
      </c>
      <c r="F20" s="10" t="str">
        <f>IFERROR(__xludf.DUMMYFUNCTION("""COMPUTED_VALUE"""),"Zeit Akademie - Dr. Radwa Khalil")</f>
        <v>Zeit Akademie - Dr. Radwa Khalil</v>
      </c>
      <c r="G20" s="11">
        <f>IFERROR(__xludf.DUMMYFUNCTION("""COMPUTED_VALUE"""),34.0)</f>
        <v>34</v>
      </c>
      <c r="H20" s="11">
        <f>IFERROR(__xludf.DUMMYFUNCTION("""COMPUTED_VALUE"""),18.0)</f>
        <v>18</v>
      </c>
      <c r="I20" s="12" t="str">
        <f>IFERROR(__xludf.DUMMYFUNCTION("""COMPUTED_VALUE"""),"English, German")</f>
        <v>English, German</v>
      </c>
      <c r="J20" s="12" t="str">
        <f>IFERROR(__xludf.DUMMYFUNCTION("""COMPUTED_VALUE"""),"English")</f>
        <v>English</v>
      </c>
      <c r="K20" s="13">
        <f>IFERROR(__xludf.DUMMYFUNCTION("""COMPUTED_VALUE"""),45555.0)</f>
        <v>45555</v>
      </c>
      <c r="L20" s="14" t="str">
        <f>IFERROR(__xludf.DUMMYFUNCTION("""COMPUTED_VALUE"""),"https://masterplan.com/courses/das-kreative-gehirn")</f>
        <v>https://masterplan.com/courses/das-kreative-gehirn</v>
      </c>
    </row>
    <row r="21">
      <c r="A21" s="15" t="str">
        <f>IFERROR(__xludf.DUMMYFUNCTION("""COMPUTED_VALUE"""),"Agile Teamarbeit III: Lean Start-up")</f>
        <v>Agile Teamarbeit III: Lean Start-up</v>
      </c>
      <c r="B21" s="16" t="str">
        <f>IFERROR(__xludf.DUMMYFUNCTION("""COMPUTED_VALUE"""),"Agile Teamwork III: Lean Start-Up")</f>
        <v>Agile Teamwork III: Lean Start-Up</v>
      </c>
      <c r="C21" s="17" t="str">
        <f>IFERROR(__xludf.DUMMYFUNCTION("""COMPUTED_VALUE"""),"Ein neues Projekt zu starten, kann entmutigend sein – kostet das nicht viel Zeit und Geld? Nicht mit der Lean Start-Up Methode. In diesem Kurs zeigt dir Jan Schmiedgen, wie wichtig Einfallsreichtum, Experimente, Pivots und Prototypen sind!")</f>
        <v>Ein neues Projekt zu starten, kann entmutigend sein – kostet das nicht viel Zeit und Geld? Nicht mit der Lean Start-Up Methode. In diesem Kurs zeigt dir Jan Schmiedgen, wie wichtig Einfallsreichtum, Experimente, Pivots und Prototypen sind!</v>
      </c>
      <c r="D21" s="17" t="str">
        <f>IFERROR(__xludf.DUMMYFUNCTION("""COMPUTED_VALUE"""),"Starting a new project can be daunting – doesn't that take a lot of time and money? Not with the Lean Start-Up method. In this course Jan Schmiedgen will teach you the importance of resourcefulness, experimentation, pivots and prototypes!")</f>
        <v>Starting a new project can be daunting – doesn't that take a lot of time and money? Not with the Lean Start-Up method. In this course Jan Schmiedgen will teach you the importance of resourcefulness, experimentation, pivots and prototypes!</v>
      </c>
      <c r="E21" s="26" t="str">
        <f>IFERROR(__xludf.DUMMYFUNCTION("""COMPUTED_VALUE"""),"Collaboration and Leadership")</f>
        <v>Collaboration and Leadership</v>
      </c>
      <c r="F21" s="19" t="str">
        <f>IFERROR(__xludf.DUMMYFUNCTION("""COMPUTED_VALUE"""),"Zeit Akademie - Jan Schmiedgen")</f>
        <v>Zeit Akademie - Jan Schmiedgen</v>
      </c>
      <c r="G21" s="20">
        <f>IFERROR(__xludf.DUMMYFUNCTION("""COMPUTED_VALUE"""),55.0)</f>
        <v>55</v>
      </c>
      <c r="H21" s="20">
        <f>IFERROR(__xludf.DUMMYFUNCTION("""COMPUTED_VALUE"""),23.0)</f>
        <v>23</v>
      </c>
      <c r="I21" s="21" t="str">
        <f>IFERROR(__xludf.DUMMYFUNCTION("""COMPUTED_VALUE"""),"English, German")</f>
        <v>English, German</v>
      </c>
      <c r="J21" s="21" t="str">
        <f>IFERROR(__xludf.DUMMYFUNCTION("""COMPUTED_VALUE"""),"German")</f>
        <v>German</v>
      </c>
      <c r="K21" s="22">
        <f>IFERROR(__xludf.DUMMYFUNCTION("""COMPUTED_VALUE"""),45553.0)</f>
        <v>45553</v>
      </c>
      <c r="L21" s="23" t="str">
        <f>IFERROR(__xludf.DUMMYFUNCTION("""COMPUTED_VALUE"""),"https://masterplan.com/courses/agile-teamarbeit-iii-lean-start-up")</f>
        <v>https://masterplan.com/courses/agile-teamarbeit-iii-lean-start-up</v>
      </c>
    </row>
    <row r="22">
      <c r="A22" s="6" t="str">
        <f>IFERROR(__xludf.DUMMYFUNCTION("""COMPUTED_VALUE"""),"Kommunikation in kritischen Situationen")</f>
        <v>Kommunikation in kritischen Situationen</v>
      </c>
      <c r="B22" s="7" t="str">
        <f>IFERROR(__xludf.DUMMYFUNCTION("""COMPUTED_VALUE"""),"Communicating in Critical Situations")</f>
        <v>Communicating in Critical Situations</v>
      </c>
      <c r="C22" s="8" t="str">
        <f>IFERROR(__xludf.DUMMYFUNCTION("""COMPUTED_VALUE"""),"Ob kritische Nachfragen, unangenehme Zwischenrufe oder unangemessene Kommentare – all das gehört zu einer lebendigen Diskussion dazu. Sofern richtig gemanagt, kann verhindert werden, dass die Diskussion ausartet und für alle Beteiligten unangenehm wird...")</f>
        <v>Ob kritische Nachfragen, unangenehme Zwischenrufe oder unangemessene Kommentare – all das gehört zu einer lebendigen Diskussion dazu. Sofern richtig gemanagt, kann verhindert werden, dass die Diskussion ausartet und für alle Beteiligten unangenehm wird...</v>
      </c>
      <c r="D22" s="8" t="str">
        <f>IFERROR(__xludf.DUMMYFUNCTION("""COMPUTED_VALUE"""),"Dealing with critical questions, awkward interruptions, or inappropriate remarks is all part of a lively discussion. With proper management, you can prevent these conversations from getting out of hand and becoming uncomfortable for everyone involved...")</f>
        <v>Dealing with critical questions, awkward interruptions, or inappropriate remarks is all part of a lively discussion. With proper management, you can prevent these conversations from getting out of hand and becoming uncomfortable for everyone involved...</v>
      </c>
      <c r="E22" s="28" t="str">
        <f>IFERROR(__xludf.DUMMYFUNCTION("""COMPUTED_VALUE"""),"Communication")</f>
        <v>Communication</v>
      </c>
      <c r="F22" s="10" t="str">
        <f>IFERROR(__xludf.DUMMYFUNCTION("""COMPUTED_VALUE"""),"Zeit Akademie - Daniel J. Hanke")</f>
        <v>Zeit Akademie - Daniel J. Hanke</v>
      </c>
      <c r="G22" s="11">
        <f>IFERROR(__xludf.DUMMYFUNCTION("""COMPUTED_VALUE"""),27.0)</f>
        <v>27</v>
      </c>
      <c r="H22" s="11">
        <f>IFERROR(__xludf.DUMMYFUNCTION("""COMPUTED_VALUE"""),17.0)</f>
        <v>17</v>
      </c>
      <c r="I22" s="12" t="str">
        <f>IFERROR(__xludf.DUMMYFUNCTION("""COMPUTED_VALUE"""),"English, German")</f>
        <v>English, German</v>
      </c>
      <c r="J22" s="12" t="str">
        <f>IFERROR(__xludf.DUMMYFUNCTION("""COMPUTED_VALUE"""),"German")</f>
        <v>German</v>
      </c>
      <c r="K22" s="13">
        <f>IFERROR(__xludf.DUMMYFUNCTION("""COMPUTED_VALUE"""),45548.0)</f>
        <v>45548</v>
      </c>
      <c r="L22" s="14" t="str">
        <f>IFERROR(__xludf.DUMMYFUNCTION("""COMPUTED_VALUE"""),"https://masterplan.com/courses/kommunikation-in-kritischen-situationen")</f>
        <v>https://masterplan.com/courses/kommunikation-in-kritischen-situationen</v>
      </c>
    </row>
    <row r="23">
      <c r="A23" s="15" t="str">
        <f>IFERROR(__xludf.DUMMYFUNCTION("""COMPUTED_VALUE"""),"Agile Teamarbeit I: Die Basics")</f>
        <v>Agile Teamarbeit I: Die Basics</v>
      </c>
      <c r="B23" s="16" t="str">
        <f>IFERROR(__xludf.DUMMYFUNCTION("""COMPUTED_VALUE"""),"Agile Teamwork I: The Basics")</f>
        <v>Agile Teamwork I: The Basics</v>
      </c>
      <c r="C23" s="17" t="str">
        <f>IFERROR(__xludf.DUMMYFUNCTION("""COMPUTED_VALUE"""),"Agilität ist seit einigen Jahren ein Trendbegriff im Management – doch was steckt wirklich dahinter? In diesem Kurs wirst du in das Thema Agilität eingeführt und lernst dabei, wie Agilität deinem Unternehmen helfen kann, nutzerzentrierter und effektiver z"&amp;"u arbeiten.")</f>
        <v>Agilität ist seit einigen Jahren ein Trendbegriff im Management – doch was steckt wirklich dahinter? In diesem Kurs wirst du in das Thema Agilität eingeführt und lernst dabei, wie Agilität deinem Unternehmen helfen kann, nutzerzentrierter und effektiver zu arbeiten.</v>
      </c>
      <c r="D23" s="17" t="str">
        <f>IFERROR(__xludf.DUMMYFUNCTION("""COMPUTED_VALUE"""),"Agility has been a trendy term in management for several years now – but what does agile actually mean? In this course, you will be introduced to the topic of agility and learn how this method can help your company to work in a more user-centred and effec"&amp;"tive way.")</f>
        <v>Agility has been a trendy term in management for several years now – but what does agile actually mean? In this course, you will be introduced to the topic of agility and learn how this method can help your company to work in a more user-centred and effective way.</v>
      </c>
      <c r="E23" s="26" t="str">
        <f>IFERROR(__xludf.DUMMYFUNCTION("""COMPUTED_VALUE"""),"Collaboration and Leadership")</f>
        <v>Collaboration and Leadership</v>
      </c>
      <c r="F23" s="19" t="str">
        <f>IFERROR(__xludf.DUMMYFUNCTION("""COMPUTED_VALUE"""),"Zeit Akademie - Dr. Holger Rhinow, Markus Andrezak")</f>
        <v>Zeit Akademie - Dr. Holger Rhinow, Markus Andrezak</v>
      </c>
      <c r="G23" s="20">
        <f>IFERROR(__xludf.DUMMYFUNCTION("""COMPUTED_VALUE"""),50.0)</f>
        <v>50</v>
      </c>
      <c r="H23" s="20">
        <f>IFERROR(__xludf.DUMMYFUNCTION("""COMPUTED_VALUE"""),21.0)</f>
        <v>21</v>
      </c>
      <c r="I23" s="21" t="str">
        <f>IFERROR(__xludf.DUMMYFUNCTION("""COMPUTED_VALUE"""),"English, German")</f>
        <v>English, German</v>
      </c>
      <c r="J23" s="21" t="str">
        <f>IFERROR(__xludf.DUMMYFUNCTION("""COMPUTED_VALUE"""),"German")</f>
        <v>German</v>
      </c>
      <c r="K23" s="22">
        <f>IFERROR(__xludf.DUMMYFUNCTION("""COMPUTED_VALUE"""),45548.0)</f>
        <v>45548</v>
      </c>
      <c r="L23" s="23" t="str">
        <f>IFERROR(__xludf.DUMMYFUNCTION("""COMPUTED_VALUE"""),"https://masterplan.com/courses/agile-teamarbeit-i-die-basics")</f>
        <v>https://masterplan.com/courses/agile-teamarbeit-i-die-basics</v>
      </c>
    </row>
    <row r="24">
      <c r="A24" s="6" t="str">
        <f>IFERROR(__xludf.DUMMYFUNCTION("""COMPUTED_VALUE"""),"Agile Teamarbeit II: Scrum")</f>
        <v>Agile Teamarbeit II: Scrum</v>
      </c>
      <c r="B24" s="7" t="str">
        <f>IFERROR(__xludf.DUMMYFUNCTION("""COMPUTED_VALUE"""),"Agile Teamwork II: Scrum")</f>
        <v>Agile Teamwork II: Scrum</v>
      </c>
      <c r="C24" s="8" t="str">
        <f>IFERROR(__xludf.DUMMYFUNCTION("""COMPUTED_VALUE"""),"Was haben Rugby und agiles Arbeiten gemeinsam? Gedränge, oder auch Scrums! Was es mit Scrum Master, Product Owner und Sprints auf sich hat, erfährst du in diesem Kurs.")</f>
        <v>Was haben Rugby und agiles Arbeiten gemeinsam? Gedränge, oder auch Scrums! Was es mit Scrum Master, Product Owner und Sprints auf sich hat, erfährst du in diesem Kurs.</v>
      </c>
      <c r="D24" s="8" t="str">
        <f>IFERROR(__xludf.DUMMYFUNCTION("""COMPUTED_VALUE"""),"What do rugby and agile work have in common? That's right, scrums! Which also happens to be a well known agile working method. In this course, you will find out what Scrum Masters, Product Owners and Sprints are all about.")</f>
        <v>What do rugby and agile work have in common? That's right, scrums! Which also happens to be a well known agile working method. In this course, you will find out what Scrum Masters, Product Owners and Sprints are all about.</v>
      </c>
      <c r="E24" s="26" t="str">
        <f>IFERROR(__xludf.DUMMYFUNCTION("""COMPUTED_VALUE"""),"Collaboration and Leadership")</f>
        <v>Collaboration and Leadership</v>
      </c>
      <c r="F24" s="10" t="str">
        <f>IFERROR(__xludf.DUMMYFUNCTION("""COMPUTED_VALUE"""),"Zeit Akademie - Markus Andrezak")</f>
        <v>Zeit Akademie - Markus Andrezak</v>
      </c>
      <c r="G24" s="11">
        <f>IFERROR(__xludf.DUMMYFUNCTION("""COMPUTED_VALUE"""),34.0)</f>
        <v>34</v>
      </c>
      <c r="H24" s="11">
        <f>IFERROR(__xludf.DUMMYFUNCTION("""COMPUTED_VALUE"""),18.0)</f>
        <v>18</v>
      </c>
      <c r="I24" s="12" t="str">
        <f>IFERROR(__xludf.DUMMYFUNCTION("""COMPUTED_VALUE"""),"English, German")</f>
        <v>English, German</v>
      </c>
      <c r="J24" s="12" t="str">
        <f>IFERROR(__xludf.DUMMYFUNCTION("""COMPUTED_VALUE"""),"German")</f>
        <v>German</v>
      </c>
      <c r="K24" s="13">
        <f>IFERROR(__xludf.DUMMYFUNCTION("""COMPUTED_VALUE"""),45548.0)</f>
        <v>45548</v>
      </c>
      <c r="L24" s="14" t="str">
        <f>IFERROR(__xludf.DUMMYFUNCTION("""COMPUTED_VALUE"""),"https://masterplan.com/courses/agile-teamarbeit-ii-scrum")</f>
        <v>https://masterplan.com/courses/agile-teamarbeit-ii-scrum</v>
      </c>
    </row>
    <row r="25">
      <c r="A25" s="15" t="str">
        <f>IFERROR(__xludf.DUMMYFUNCTION("""COMPUTED_VALUE"""),"[KI Grundkurs] Abschluss ""Grundkurs: Künstliche Intelligenz""")</f>
        <v>[KI Grundkurs] Abschluss "Grundkurs: Künstliche Intelligenz"</v>
      </c>
      <c r="B25" s="16" t="str">
        <f>IFERROR(__xludf.DUMMYFUNCTION("""COMPUTED_VALUE"""),"[AI Fundamentals] Outro: Fundamentals of AI")</f>
        <v>[AI Fundamentals] Outro: Fundamentals of AI</v>
      </c>
      <c r="C25" s="17" t="str">
        <f>IFERROR(__xludf.DUMMYFUNCTION("""COMPUTED_VALUE"""),"Herzlichen Glückwunsch, du hast den Grundkurs rund um das Thema KI erfolgreich abgeschlossen! Der immense Fortschritt durch KI hat zwar erst angefangen. Mit deinem neu erworbenen Wissen bist du nun aber fit für die KI-Revolution sowie für kommende Entwick"&amp;"lungen.")</f>
        <v>Herzlichen Glückwunsch, du hast den Grundkurs rund um das Thema KI erfolgreich abgeschlossen! Der immense Fortschritt durch KI hat zwar erst angefangen. Mit deinem neu erworbenen Wissen bist du nun aber fit für die KI-Revolution sowie für kommende Entwicklungen.</v>
      </c>
      <c r="D25" s="17" t="str">
        <f>IFERROR(__xludf.DUMMYFUNCTION("""COMPUTED_VALUE"""),"Congratulations on completing the Fundamentals of AI course! The advances in AI have just begun, but with your new knowledge, you're well prepared for the AI revolution and future developments.")</f>
        <v>Congratulations on completing the Fundamentals of AI course! The advances in AI have just begun, but with your new knowledge, you're well prepared for the AI revolution and future developments.</v>
      </c>
      <c r="E25" s="25" t="str">
        <f>IFERROR(__xludf.DUMMYFUNCTION("""COMPUTED_VALUE"""),"Digital Literacy")</f>
        <v>Digital Literacy</v>
      </c>
      <c r="F25" s="19" t="str">
        <f>IFERROR(__xludf.DUMMYFUNCTION("""COMPUTED_VALUE"""),"Dionne Wudu")</f>
        <v>Dionne Wudu</v>
      </c>
      <c r="G25" s="20">
        <f>IFERROR(__xludf.DUMMYFUNCTION("""COMPUTED_VALUE"""),1.0)</f>
        <v>1</v>
      </c>
      <c r="H25" s="20">
        <f>IFERROR(__xludf.DUMMYFUNCTION("""COMPUTED_VALUE"""),1.0)</f>
        <v>1</v>
      </c>
      <c r="I25" s="21" t="str">
        <f>IFERROR(__xludf.DUMMYFUNCTION("""COMPUTED_VALUE"""),"English, German")</f>
        <v>English, German</v>
      </c>
      <c r="J25" s="21" t="str">
        <f>IFERROR(__xludf.DUMMYFUNCTION("""COMPUTED_VALUE"""),"English, German")</f>
        <v>English, German</v>
      </c>
      <c r="K25" s="22">
        <f>IFERROR(__xludf.DUMMYFUNCTION("""COMPUTED_VALUE"""),45535.0)</f>
        <v>45535</v>
      </c>
      <c r="L25" s="23" t="str">
        <f>IFERROR(__xludf.DUMMYFUNCTION("""COMPUTED_VALUE"""),"https://masterplan.com/courses/abschluss-grundkurs-kunstliche-intelligenz")</f>
        <v>https://masterplan.com/courses/abschluss-grundkurs-kunstliche-intelligenz</v>
      </c>
    </row>
    <row r="26">
      <c r="A26" s="6" t="str">
        <f>IFERROR(__xludf.DUMMYFUNCTION("""COMPUTED_VALUE"""),"[KI Grundkurs] KI in deinem Arbeitsalltag")</f>
        <v>[KI Grundkurs] KI in deinem Arbeitsalltag</v>
      </c>
      <c r="B26" s="7" t="str">
        <f>IFERROR(__xludf.DUMMYFUNCTION("""COMPUTED_VALUE"""),"[AI Fundamentals] AI in Your Everyday Work")</f>
        <v>[AI Fundamentals] AI in Your Everyday Work</v>
      </c>
      <c r="C26" s="8" t="str">
        <f>IFERROR(__xludf.DUMMYFUNCTION("""COMPUTED_VALUE"""),"Übernimmt KI bald deinen Job? Nein, aber sie wird ihn dir wesentlich leichter machen. Aber was für KI-Tools gibt es bereits und welche Aufgaben können sie dir abnehmen? Dieser Kurs sorgt für den nötigen Durchblick im KI-Dschungel - ein paar Tipps gibt's o"&amp;"bendrein!")</f>
        <v>Übernimmt KI bald deinen Job? Nein, aber sie wird ihn dir wesentlich leichter machen. Aber was für KI-Tools gibt es bereits und welche Aufgaben können sie dir abnehmen? Dieser Kurs sorgt für den nötigen Durchblick im KI-Dschungel - ein paar Tipps gibt's obendrein!</v>
      </c>
      <c r="D26" s="8" t="str">
        <f>IFERROR(__xludf.DUMMYFUNCTION("""COMPUTED_VALUE"""),"Will AI soon replace your job? No, but it will make it much easier. What AI tools are already out there, and what tasks can they handle for you? This course provides the clarity you need in the AI jungle, with some handy tips thrown in for good measure!")</f>
        <v>Will AI soon replace your job? No, but it will make it much easier. What AI tools are already out there, and what tasks can they handle for you? This course provides the clarity you need in the AI jungle, with some handy tips thrown in for good measure!</v>
      </c>
      <c r="E26" s="25" t="str">
        <f>IFERROR(__xludf.DUMMYFUNCTION("""COMPUTED_VALUE"""),"Digital Literacy")</f>
        <v>Digital Literacy</v>
      </c>
      <c r="F26" s="10" t="str">
        <f>IFERROR(__xludf.DUMMYFUNCTION("""COMPUTED_VALUE"""),"Masterplan - Nadine Wagenaar")</f>
        <v>Masterplan - Nadine Wagenaar</v>
      </c>
      <c r="G26" s="11">
        <f>IFERROR(__xludf.DUMMYFUNCTION("""COMPUTED_VALUE"""),14.0)</f>
        <v>14</v>
      </c>
      <c r="H26" s="11">
        <f>IFERROR(__xludf.DUMMYFUNCTION("""COMPUTED_VALUE"""),11.0)</f>
        <v>11</v>
      </c>
      <c r="I26" s="12" t="str">
        <f>IFERROR(__xludf.DUMMYFUNCTION("""COMPUTED_VALUE"""),"English, German")</f>
        <v>English, German</v>
      </c>
      <c r="J26" s="12" t="str">
        <f>IFERROR(__xludf.DUMMYFUNCTION("""COMPUTED_VALUE"""),"English, German")</f>
        <v>English, German</v>
      </c>
      <c r="K26" s="13">
        <f>IFERROR(__xludf.DUMMYFUNCTION("""COMPUTED_VALUE"""),45534.0)</f>
        <v>45534</v>
      </c>
      <c r="L26" s="14" t="str">
        <f>IFERROR(__xludf.DUMMYFUNCTION("""COMPUTED_VALUE"""),"https://masterplan.com/courses/ki-in-deinem-arbeitsalltag")</f>
        <v>https://masterplan.com/courses/ki-in-deinem-arbeitsalltag</v>
      </c>
    </row>
    <row r="27">
      <c r="A27" s="15" t="str">
        <f>IFERROR(__xludf.DUMMYFUNCTION("""COMPUTED_VALUE"""),"[KI Grundkurs] ChatGPT als digitaler Assistent")</f>
        <v>[KI Grundkurs] ChatGPT als digitaler Assistent</v>
      </c>
      <c r="B27" s="16" t="str">
        <f>IFERROR(__xludf.DUMMYFUNCTION("""COMPUTED_VALUE"""),"[AI Fundamentals] ChatGPT as a Digital Assistant")</f>
        <v>[AI Fundamentals] ChatGPT as a Digital Assistant</v>
      </c>
      <c r="C27" s="17" t="str">
        <f>IFERROR(__xludf.DUMMYFUNCTION("""COMPUTED_VALUE"""),"Kann eine KI wirklich E-Mails verfassen oder dich bei der Projektplanung unterstützen? Wenn du ChatGPT bislang noch nicht ausprobiert hast, geben wir dir die wichtigsten Grundlagen an die Hand! Denn ein smartes Tool, erfordert eine smarte Nutzung!")</f>
        <v>Kann eine KI wirklich E-Mails verfassen oder dich bei der Projektplanung unterstützen? Wenn du ChatGPT bislang noch nicht ausprobiert hast, geben wir dir die wichtigsten Grundlagen an die Hand! Denn ein smartes Tool, erfordert eine smarte Nutzung!</v>
      </c>
      <c r="D27" s="17" t="str">
        <f>IFERROR(__xludf.DUMMYFUNCTION("""COMPUTED_VALUE"""),"Can AI really compose emails or help you with project planning? If you haven't tried ChatGPT yet, we're here to give you the basics! Because a smart tool requires a smart use!")</f>
        <v>Can AI really compose emails or help you with project planning? If you haven't tried ChatGPT yet, we're here to give you the basics! Because a smart tool requires a smart use!</v>
      </c>
      <c r="E27" s="25" t="str">
        <f>IFERROR(__xludf.DUMMYFUNCTION("""COMPUTED_VALUE"""),"Digital Literacy")</f>
        <v>Digital Literacy</v>
      </c>
      <c r="F27" s="19" t="str">
        <f>IFERROR(__xludf.DUMMYFUNCTION("""COMPUTED_VALUE"""),"Masterplan - Matthew Wood")</f>
        <v>Masterplan - Matthew Wood</v>
      </c>
      <c r="G27" s="20">
        <f>IFERROR(__xludf.DUMMYFUNCTION("""COMPUTED_VALUE"""),26.0)</f>
        <v>26</v>
      </c>
      <c r="H27" s="20">
        <f>IFERROR(__xludf.DUMMYFUNCTION("""COMPUTED_VALUE"""),20.0)</f>
        <v>20</v>
      </c>
      <c r="I27" s="21" t="str">
        <f>IFERROR(__xludf.DUMMYFUNCTION("""COMPUTED_VALUE"""),"English, German")</f>
        <v>English, German</v>
      </c>
      <c r="J27" s="21" t="str">
        <f>IFERROR(__xludf.DUMMYFUNCTION("""COMPUTED_VALUE"""),"English, German")</f>
        <v>English, German</v>
      </c>
      <c r="K27" s="22">
        <f>IFERROR(__xludf.DUMMYFUNCTION("""COMPUTED_VALUE"""),45533.0)</f>
        <v>45533</v>
      </c>
      <c r="L27" s="23" t="str">
        <f>IFERROR(__xludf.DUMMYFUNCTION("""COMPUTED_VALUE"""),"https://masterplan.com/courses/chatgpt-als-digitaler-assistent")</f>
        <v>https://masterplan.com/courses/chatgpt-als-digitaler-assistent</v>
      </c>
    </row>
    <row r="28">
      <c r="A28" s="6" t="str">
        <f>IFERROR(__xludf.DUMMYFUNCTION("""COMPUTED_VALUE"""),"[KI Grundkurs] KI: Gesellschaft, Ethik &amp; Technologie")</f>
        <v>[KI Grundkurs] KI: Gesellschaft, Ethik &amp; Technologie</v>
      </c>
      <c r="B28" s="7" t="str">
        <f>IFERROR(__xludf.DUMMYFUNCTION("""COMPUTED_VALUE"""),"[AI Fundamentals] AI: Society, Ethics &amp; Tech")</f>
        <v>[AI Fundamentals] AI: Society, Ethics &amp; Tech</v>
      </c>
      <c r="C28" s="8" t="str">
        <f>IFERROR(__xludf.DUMMYFUNCTION("""COMPUTED_VALUE"""),"Wird KI wirklich unser gesamtes Arbeiten und Zusammenleben, ja, unsere gesamte Welt, umkrempeln? Die Unternehmerin und KI-Expertin Elisabeth L'Orange über die ethischen und technischen Zusammenhänge zwischen KI, Gesellschaft und dem globalen Wirtschaftssy"&amp;"stem.")</f>
        <v>Wird KI wirklich unser gesamtes Arbeiten und Zusammenleben, ja, unsere gesamte Welt, umkrempeln? Die Unternehmerin und KI-Expertin Elisabeth L'Orange über die ethischen und technischen Zusammenhänge zwischen KI, Gesellschaft und dem globalen Wirtschaftssystem.</v>
      </c>
      <c r="D28" s="8" t="str">
        <f>IFERROR(__xludf.DUMMYFUNCTION("""COMPUTED_VALUE"""),"Will AI revolutionize not just our workplaces but our entire way of life? Join entrepreneur and AI expert Elisabeth L'Orange as she explores the intricate ethical and technical ties between AI, society, and the global economy.")</f>
        <v>Will AI revolutionize not just our workplaces but our entire way of life? Join entrepreneur and AI expert Elisabeth L'Orange as she explores the intricate ethical and technical ties between AI, society, and the global economy.</v>
      </c>
      <c r="E28" s="25" t="str">
        <f>IFERROR(__xludf.DUMMYFUNCTION("""COMPUTED_VALUE"""),"Digital Literacy")</f>
        <v>Digital Literacy</v>
      </c>
      <c r="F28" s="10" t="str">
        <f>IFERROR(__xludf.DUMMYFUNCTION("""COMPUTED_VALUE"""),"Elisabeth L’Orange")</f>
        <v>Elisabeth L’Orange</v>
      </c>
      <c r="G28" s="11">
        <f>IFERROR(__xludf.DUMMYFUNCTION("""COMPUTED_VALUE"""),26.0)</f>
        <v>26</v>
      </c>
      <c r="H28" s="11">
        <f>IFERROR(__xludf.DUMMYFUNCTION("""COMPUTED_VALUE"""),12.0)</f>
        <v>12</v>
      </c>
      <c r="I28" s="12" t="str">
        <f>IFERROR(__xludf.DUMMYFUNCTION("""COMPUTED_VALUE"""),"English, German")</f>
        <v>English, German</v>
      </c>
      <c r="J28" s="12" t="str">
        <f>IFERROR(__xludf.DUMMYFUNCTION("""COMPUTED_VALUE"""),"English, German")</f>
        <v>English, German</v>
      </c>
      <c r="K28" s="13">
        <f>IFERROR(__xludf.DUMMYFUNCTION("""COMPUTED_VALUE"""),45532.0)</f>
        <v>45532</v>
      </c>
      <c r="L28" s="14" t="str">
        <f>IFERROR(__xludf.DUMMYFUNCTION("""COMPUTED_VALUE"""),"https://masterplan.com/courses/ki-gesellschaft-ethik-technologie")</f>
        <v>https://masterplan.com/courses/ki-gesellschaft-ethik-technologie</v>
      </c>
    </row>
    <row r="29">
      <c r="A29" s="15" t="str">
        <f>IFERROR(__xludf.DUMMYFUNCTION("""COMPUTED_VALUE"""),"[KI Grundkurs] Large Language Model Training")</f>
        <v>[KI Grundkurs] Large Language Model Training</v>
      </c>
      <c r="B29" s="16" t="str">
        <f>IFERROR(__xludf.DUMMYFUNCTION("""COMPUTED_VALUE"""),"[AI Fundamentals] Large Language Model Training")</f>
        <v>[AI Fundamentals] Large Language Model Training</v>
      </c>
      <c r="C29" s="17" t="str">
        <f>IFERROR(__xludf.DUMMYFUNCTION("""COMPUTED_VALUE"""),"Das Training von KI ist hochkomplex. Um dir eine grobe Idee zu geben, werden wir das Ganze für dich in diesem Short sehr vereinfachen. 
Um ein Large Language Model zu trainieren, braucht es nämlich im Wesentlichen nur drei Schritte...")</f>
        <v>Das Training von KI ist hochkomplex. Um dir eine grobe Idee zu geben, werden wir das Ganze für dich in diesem Short sehr vereinfachen. 
Um ein Large Language Model zu trainieren, braucht es nämlich im Wesentlichen nur drei Schritte...</v>
      </c>
      <c r="D29" s="17" t="str">
        <f>IFERROR(__xludf.DUMMYFUNCTION("""COMPUTED_VALUE"""),"AI training is very complex. To give you a rough idea, we'll simplify it for you in this Short. After all, training a large language model essentially only requires three steps...")</f>
        <v>AI training is very complex. To give you a rough idea, we'll simplify it for you in this Short. After all, training a large language model essentially only requires three steps...</v>
      </c>
      <c r="E29" s="25" t="str">
        <f>IFERROR(__xludf.DUMMYFUNCTION("""COMPUTED_VALUE"""),"Digital Literacy")</f>
        <v>Digital Literacy</v>
      </c>
      <c r="F29" s="19" t="str">
        <f>IFERROR(__xludf.DUMMYFUNCTION("""COMPUTED_VALUE"""),"Philipp Klöckner")</f>
        <v>Philipp Klöckner</v>
      </c>
      <c r="G29" s="20">
        <f>IFERROR(__xludf.DUMMYFUNCTION("""COMPUTED_VALUE"""),4.0)</f>
        <v>4</v>
      </c>
      <c r="H29" s="20">
        <f>IFERROR(__xludf.DUMMYFUNCTION("""COMPUTED_VALUE"""),3.0)</f>
        <v>3</v>
      </c>
      <c r="I29" s="21" t="str">
        <f>IFERROR(__xludf.DUMMYFUNCTION("""COMPUTED_VALUE"""),"English, German")</f>
        <v>English, German</v>
      </c>
      <c r="J29" s="21" t="str">
        <f>IFERROR(__xludf.DUMMYFUNCTION("""COMPUTED_VALUE"""),"English, German")</f>
        <v>English, German</v>
      </c>
      <c r="K29" s="22">
        <f>IFERROR(__xludf.DUMMYFUNCTION("""COMPUTED_VALUE"""),45531.0)</f>
        <v>45531</v>
      </c>
      <c r="L29" s="23" t="str">
        <f>IFERROR(__xludf.DUMMYFUNCTION("""COMPUTED_VALUE"""),"https://masterplan.com/courses/mp-shorts-large-language-model-training")</f>
        <v>https://masterplan.com/courses/mp-shorts-large-language-model-training</v>
      </c>
    </row>
    <row r="30">
      <c r="A30" s="6" t="str">
        <f>IFERROR(__xludf.DUMMYFUNCTION("""COMPUTED_VALUE"""),"[KI Grundkurs] Machine Learning: Eine Einführung")</f>
        <v>[KI Grundkurs] Machine Learning: Eine Einführung</v>
      </c>
      <c r="B30" s="7" t="str">
        <f>IFERROR(__xludf.DUMMYFUNCTION("""COMPUTED_VALUE"""),"[AI Fundamentals] Machine Learning: An Introduction")</f>
        <v>[AI Fundamentals] Machine Learning: An Introduction</v>
      </c>
      <c r="C30" s="8" t="str">
        <f>IFERROR(__xludf.DUMMYFUNCTION("""COMPUTED_VALUE"""),"Spotify, Netflix, Amazon... – sie alle tun's! Sie alle nutzen Machine-Learning-Systeme, um unter anderem dein Nutzererlebnis zu verbessern. Aber was genau ist Machine Learning eigentlich und warum ist das System dahinter für den aktuellen KI-Hype verantwo"&amp;"rtlich?")</f>
        <v>Spotify, Netflix, Amazon... – sie alle tun's! Sie alle nutzen Machine-Learning-Systeme, um unter anderem dein Nutzererlebnis zu verbessern. Aber was genau ist Machine Learning eigentlich und warum ist das System dahinter für den aktuellen KI-Hype verantwortlich?</v>
      </c>
      <c r="D30" s="8" t="str">
        <f>IFERROR(__xludf.DUMMYFUNCTION("""COMPUTED_VALUE"""),"Spotify, Netflix, Amazon... they all do it! They all use machine learning systems to enhance your user experience among other things. But what exactly is machine learning, and why is it at the heart of the current AI hype?")</f>
        <v>Spotify, Netflix, Amazon... they all do it! They all use machine learning systems to enhance your user experience among other things. But what exactly is machine learning, and why is it at the heart of the current AI hype?</v>
      </c>
      <c r="E30" s="25" t="str">
        <f>IFERROR(__xludf.DUMMYFUNCTION("""COMPUTED_VALUE"""),"Digital Literacy")</f>
        <v>Digital Literacy</v>
      </c>
      <c r="F30" s="10" t="str">
        <f>IFERROR(__xludf.DUMMYFUNCTION("""COMPUTED_VALUE"""),"Dionne Wudu")</f>
        <v>Dionne Wudu</v>
      </c>
      <c r="G30" s="11">
        <f>IFERROR(__xludf.DUMMYFUNCTION("""COMPUTED_VALUE"""),31.0)</f>
        <v>31</v>
      </c>
      <c r="H30" s="11">
        <f>IFERROR(__xludf.DUMMYFUNCTION("""COMPUTED_VALUE"""),20.0)</f>
        <v>20</v>
      </c>
      <c r="I30" s="12" t="str">
        <f>IFERROR(__xludf.DUMMYFUNCTION("""COMPUTED_VALUE"""),"English, German")</f>
        <v>English, German</v>
      </c>
      <c r="J30" s="12" t="str">
        <f>IFERROR(__xludf.DUMMYFUNCTION("""COMPUTED_VALUE"""),"English, German")</f>
        <v>English, German</v>
      </c>
      <c r="K30" s="13">
        <f>IFERROR(__xludf.DUMMYFUNCTION("""COMPUTED_VALUE"""),45530.0)</f>
        <v>45530</v>
      </c>
      <c r="L30" s="14" t="str">
        <f>IFERROR(__xludf.DUMMYFUNCTION("""COMPUTED_VALUE"""),"https://masterplan.com/courses/machine-learning-eine-einfuhrung")</f>
        <v>https://masterplan.com/courses/machine-learning-eine-einfuhrung</v>
      </c>
    </row>
    <row r="31">
      <c r="A31" s="15" t="str">
        <f>IFERROR(__xludf.DUMMYFUNCTION("""COMPUTED_VALUE"""),"[KI Grundkurs] Bias in KI")</f>
        <v>[KI Grundkurs] Bias in KI</v>
      </c>
      <c r="B31" s="16" t="str">
        <f>IFERROR(__xludf.DUMMYFUNCTION("""COMPUTED_VALUE"""),"[AI Fundamentals] Bias in AI")</f>
        <v>[AI Fundamentals] Bias in AI</v>
      </c>
      <c r="C31" s="17" t="str">
        <f>IFERROR(__xludf.DUMMYFUNCTION("""COMPUTED_VALUE"""),"KI verspricht Zeitersparnis, kann einen aber auch gehörig in die Bredouille bringen! Trainiert mit historisch männlich geprägten Daten, schlug Amazon's Recruiting-KI kaum Frauen für IT-Jobs vor. Sind solche Biases vermeidbar oder ist KI unbelehrbar?")</f>
        <v>KI verspricht Zeitersparnis, kann einen aber auch gehörig in die Bredouille bringen! Trainiert mit historisch männlich geprägten Daten, schlug Amazon's Recruiting-KI kaum Frauen für IT-Jobs vor. Sind solche Biases vermeidbar oder ist KI unbelehrbar?</v>
      </c>
      <c r="D31" s="17" t="str">
        <f>IFERROR(__xludf.DUMMYFUNCTION("""COMPUTED_VALUE"""),"AI promises to save time, but it can also land you in hot water! Trained on historically male-biased data, Amazon's recruiting AI rarely recommended women for IT jobs. Are such biases avoidable, or is AI simply incorrigible?")</f>
        <v>AI promises to save time, but it can also land you in hot water! Trained on historically male-biased data, Amazon's recruiting AI rarely recommended women for IT jobs. Are such biases avoidable, or is AI simply incorrigible?</v>
      </c>
      <c r="E31" s="25" t="str">
        <f>IFERROR(__xludf.DUMMYFUNCTION("""COMPUTED_VALUE"""),"Digital Literacy")</f>
        <v>Digital Literacy</v>
      </c>
      <c r="F31" s="19" t="str">
        <f>IFERROR(__xludf.DUMMYFUNCTION("""COMPUTED_VALUE"""),"Masterplan - Nadine Wagenaar")</f>
        <v>Masterplan - Nadine Wagenaar</v>
      </c>
      <c r="G31" s="20">
        <f>IFERROR(__xludf.DUMMYFUNCTION("""COMPUTED_VALUE"""),3.0)</f>
        <v>3</v>
      </c>
      <c r="H31" s="20">
        <f>IFERROR(__xludf.DUMMYFUNCTION("""COMPUTED_VALUE"""),3.0)</f>
        <v>3</v>
      </c>
      <c r="I31" s="21" t="str">
        <f>IFERROR(__xludf.DUMMYFUNCTION("""COMPUTED_VALUE"""),"English, German")</f>
        <v>English, German</v>
      </c>
      <c r="J31" s="21" t="str">
        <f>IFERROR(__xludf.DUMMYFUNCTION("""COMPUTED_VALUE"""),"English, German")</f>
        <v>English, German</v>
      </c>
      <c r="K31" s="22">
        <f>IFERROR(__xludf.DUMMYFUNCTION("""COMPUTED_VALUE"""),45529.0)</f>
        <v>45529</v>
      </c>
      <c r="L31" s="23" t="str">
        <f>IFERROR(__xludf.DUMMYFUNCTION("""COMPUTED_VALUE"""),"https://masterplan.com/courses/mp-shorts-bias-in-ki")</f>
        <v>https://masterplan.com/courses/mp-shorts-bias-in-ki</v>
      </c>
    </row>
    <row r="32">
      <c r="A32" s="6" t="str">
        <f>IFERROR(__xludf.DUMMYFUNCTION("""COMPUTED_VALUE"""),"[KI Grundkurs] Das Alignment Problem")</f>
        <v>[KI Grundkurs] Das Alignment Problem</v>
      </c>
      <c r="B32" s="7" t="str">
        <f>IFERROR(__xludf.DUMMYFUNCTION("""COMPUTED_VALUE"""),"[AI Fundamentals] The Alignment Problem")</f>
        <v>[AI Fundamentals] The Alignment Problem</v>
      </c>
      <c r="C32" s="8" t="str">
        <f>IFERROR(__xludf.DUMMYFUNCTION("""COMPUTED_VALUE"""),"Zu oft macht KI nicht das, was sie soll. Der Kybernetiker Norbert Wiener hat bereits 1960 davor gewarnt, dass unsere Beziehung zu KI der Geschichte des Zauberlehrlings ähneln könnte. Ist KI einfach unkontrollierbar oder stehen wir vor einem ganz anderen P"&amp;"roblem?")</f>
        <v>Zu oft macht KI nicht das, was sie soll. Der Kybernetiker Norbert Wiener hat bereits 1960 davor gewarnt, dass unsere Beziehung zu KI der Geschichte des Zauberlehrlings ähneln könnte. Ist KI einfach unkontrollierbar oder stehen wir vor einem ganz anderen Problem?</v>
      </c>
      <c r="D32" s="8" t="str">
        <f>IFERROR(__xludf.DUMMYFUNCTION("""COMPUTED_VALUE"""),"Artificial intelligence often doesn't do what you ask it to. As early as 1960, cyberneticist Norbert Wiener warned that our relationship with AI could mirror the Sorcerer's Apprentice story. Is AI inherently uncontrollable, or are we facing a different is"&amp;"sue entirely?")</f>
        <v>Artificial intelligence often doesn't do what you ask it to. As early as 1960, cyberneticist Norbert Wiener warned that our relationship with AI could mirror the Sorcerer's Apprentice story. Is AI inherently uncontrollable, or are we facing a different issue entirely?</v>
      </c>
      <c r="E32" s="25" t="str">
        <f>IFERROR(__xludf.DUMMYFUNCTION("""COMPUTED_VALUE"""),"Digital Literacy")</f>
        <v>Digital Literacy</v>
      </c>
      <c r="F32" s="10" t="str">
        <f>IFERROR(__xludf.DUMMYFUNCTION("""COMPUTED_VALUE"""),"Masterplan - Kolja Wohlleben")</f>
        <v>Masterplan - Kolja Wohlleben</v>
      </c>
      <c r="G32" s="11">
        <f>IFERROR(__xludf.DUMMYFUNCTION("""COMPUTED_VALUE"""),10.0)</f>
        <v>10</v>
      </c>
      <c r="H32" s="11">
        <f>IFERROR(__xludf.DUMMYFUNCTION("""COMPUTED_VALUE"""),5.0)</f>
        <v>5</v>
      </c>
      <c r="I32" s="12" t="str">
        <f>IFERROR(__xludf.DUMMYFUNCTION("""COMPUTED_VALUE"""),"English, German")</f>
        <v>English, German</v>
      </c>
      <c r="J32" s="12" t="str">
        <f>IFERROR(__xludf.DUMMYFUNCTION("""COMPUTED_VALUE"""),"English, German")</f>
        <v>English, German</v>
      </c>
      <c r="K32" s="13">
        <f>IFERROR(__xludf.DUMMYFUNCTION("""COMPUTED_VALUE"""),45528.0)</f>
        <v>45528</v>
      </c>
      <c r="L32" s="14" t="str">
        <f>IFERROR(__xludf.DUMMYFUNCTION("""COMPUTED_VALUE"""),"https://masterplan.com/courses/das-alignment-problem")</f>
        <v>https://masterplan.com/courses/das-alignment-problem</v>
      </c>
    </row>
    <row r="33">
      <c r="A33" s="15" t="str">
        <f>IFERROR(__xludf.DUMMYFUNCTION("""COMPUTED_VALUE"""),"[KI Grundkurs] Risiken und Herausforderungen Künstlicher Intelligenz")</f>
        <v>[KI Grundkurs] Risiken und Herausforderungen Künstlicher Intelligenz</v>
      </c>
      <c r="B33" s="16" t="str">
        <f>IFERROR(__xludf.DUMMYFUNCTION("""COMPUTED_VALUE"""),"[AI Fundamentals] Risks and Challenges of Artificial Intelligence")</f>
        <v>[AI Fundamentals] Risks and Challenges of Artificial Intelligence</v>
      </c>
      <c r="C33" s="17" t="str">
        <f>IFERROR(__xludf.DUMMYFUNCTION("""COMPUTED_VALUE"""),"""Ein ChatGPT-Verlauf verbraucht knapp einen halben Liter Wasser"" – erschreckend, oder? Aber welche Folgen bringt KI für unsere Umwelt mit sich? Welchen Einfluss hat sie auf unser soziales Leben und wo liegen technische Grenzen? KI-Experte Philipp Klöckn"&amp;"er klärt auf!")</f>
        <v>"Ein ChatGPT-Verlauf verbraucht knapp einen halben Liter Wasser" – erschreckend, oder? Aber welche Folgen bringt KI für unsere Umwelt mit sich? Welchen Einfluss hat sie auf unser soziales Leben und wo liegen technische Grenzen? KI-Experte Philipp Klöckner klärt auf!</v>
      </c>
      <c r="D33" s="17" t="str">
        <f>IFERROR(__xludf.DUMMYFUNCTION("""COMPUTED_VALUE"""),"Running a single ChatGPT session uses almost half a liter of water - shocking, right? This course explores AI's impact on the environment and on our social interactions, as well as its technological limitations. Join AI expert Philipp Klöckner for eye-ope"&amp;"ning insights!")</f>
        <v>Running a single ChatGPT session uses almost half a liter of water - shocking, right? This course explores AI's impact on the environment and on our social interactions, as well as its technological limitations. Join AI expert Philipp Klöckner for eye-opening insights!</v>
      </c>
      <c r="E33" s="25" t="str">
        <f>IFERROR(__xludf.DUMMYFUNCTION("""COMPUTED_VALUE"""),"Digital Literacy")</f>
        <v>Digital Literacy</v>
      </c>
      <c r="F33" s="19" t="str">
        <f>IFERROR(__xludf.DUMMYFUNCTION("""COMPUTED_VALUE"""),"Philipp Klöckner")</f>
        <v>Philipp Klöckner</v>
      </c>
      <c r="G33" s="20">
        <f>IFERROR(__xludf.DUMMYFUNCTION("""COMPUTED_VALUE"""),19.0)</f>
        <v>19</v>
      </c>
      <c r="H33" s="20">
        <f>IFERROR(__xludf.DUMMYFUNCTION("""COMPUTED_VALUE"""),11.0)</f>
        <v>11</v>
      </c>
      <c r="I33" s="21" t="str">
        <f>IFERROR(__xludf.DUMMYFUNCTION("""COMPUTED_VALUE"""),"English, German")</f>
        <v>English, German</v>
      </c>
      <c r="J33" s="21" t="str">
        <f>IFERROR(__xludf.DUMMYFUNCTION("""COMPUTED_VALUE"""),"English, German")</f>
        <v>English, German</v>
      </c>
      <c r="K33" s="22">
        <f>IFERROR(__xludf.DUMMYFUNCTION("""COMPUTED_VALUE"""),45527.0)</f>
        <v>45527</v>
      </c>
      <c r="L33" s="23" t="str">
        <f>IFERROR(__xludf.DUMMYFUNCTION("""COMPUTED_VALUE"""),"https://masterplan.com/courses/risiken-und-herausforderungen-kunstlicher-intelligenz")</f>
        <v>https://masterplan.com/courses/risiken-und-herausforderungen-kunstlicher-intelligenz</v>
      </c>
    </row>
    <row r="34">
      <c r="A34" s="6" t="str">
        <f>IFERROR(__xludf.DUMMYFUNCTION("""COMPUTED_VALUE"""),"[KI Grundkurs] Secret Cyborgs")</f>
        <v>[KI Grundkurs] Secret Cyborgs</v>
      </c>
      <c r="B34" s="7" t="str">
        <f>IFERROR(__xludf.DUMMYFUNCTION("""COMPUTED_VALUE"""),"[AI Fundamentals] Secret Cyborgs")</f>
        <v>[AI Fundamentals] Secret Cyborgs</v>
      </c>
      <c r="C34" s="8" t="str">
        <f>IFERROR(__xludf.DUMMYFUNCTION("""COMPUTED_VALUE"""),"Schon mal von Secret Cyborgs gehört? Anders als der Name vermuten lässt, sind das keine Personen, die halb Mensch, halb Maschine sind. Erfahre, welches Potenzial Secret Cyborgs deinem Unternehmen bieten und warum sie für deine KI-Agenda interessant sein k"&amp;"önnten.")</f>
        <v>Schon mal von Secret Cyborgs gehört? Anders als der Name vermuten lässt, sind das keine Personen, die halb Mensch, halb Maschine sind. Erfahre, welches Potenzial Secret Cyborgs deinem Unternehmen bieten und warum sie für deine KI-Agenda interessant sein könnten.</v>
      </c>
      <c r="D34" s="8" t="str">
        <f>IFERROR(__xludf.DUMMYFUNCTION("""COMPUTED_VALUE"""),"Ever heard of Secret Cyborgs? Contrary to what the name suggests, these aren't half-human, half-machine beings. Discover the potential Secret Cyborgs can offer your business and why they should be a key consideration for your AI strategy.")</f>
        <v>Ever heard of Secret Cyborgs? Contrary to what the name suggests, these aren't half-human, half-machine beings. Discover the potential Secret Cyborgs can offer your business and why they should be a key consideration for your AI strategy.</v>
      </c>
      <c r="E34" s="25" t="str">
        <f>IFERROR(__xludf.DUMMYFUNCTION("""COMPUTED_VALUE"""),"Digital Literacy")</f>
        <v>Digital Literacy</v>
      </c>
      <c r="F34" s="10" t="str">
        <f>IFERROR(__xludf.DUMMYFUNCTION("""COMPUTED_VALUE"""),"Philipp Klöckner")</f>
        <v>Philipp Klöckner</v>
      </c>
      <c r="G34" s="11">
        <f>IFERROR(__xludf.DUMMYFUNCTION("""COMPUTED_VALUE"""),3.0)</f>
        <v>3</v>
      </c>
      <c r="H34" s="11">
        <f>IFERROR(__xludf.DUMMYFUNCTION("""COMPUTED_VALUE"""),3.0)</f>
        <v>3</v>
      </c>
      <c r="I34" s="12" t="str">
        <f>IFERROR(__xludf.DUMMYFUNCTION("""COMPUTED_VALUE"""),"English, German")</f>
        <v>English, German</v>
      </c>
      <c r="J34" s="12" t="str">
        <f>IFERROR(__xludf.DUMMYFUNCTION("""COMPUTED_VALUE"""),"English, German")</f>
        <v>English, German</v>
      </c>
      <c r="K34" s="13">
        <f>IFERROR(__xludf.DUMMYFUNCTION("""COMPUTED_VALUE"""),45526.0)</f>
        <v>45526</v>
      </c>
      <c r="L34" s="14" t="str">
        <f>IFERROR(__xludf.DUMMYFUNCTION("""COMPUTED_VALUE"""),"https://masterplan.com/courses/mp-shorts-secret-cyborgs")</f>
        <v>https://masterplan.com/courses/mp-shorts-secret-cyborgs</v>
      </c>
    </row>
    <row r="35">
      <c r="A35" s="15" t="str">
        <f>IFERROR(__xludf.DUMMYFUNCTION("""COMPUTED_VALUE"""),"[KI Grundkurs] Künstliche Intelligenz: Chancen und Potenziale")</f>
        <v>[KI Grundkurs] Künstliche Intelligenz: Chancen und Potenziale</v>
      </c>
      <c r="B35" s="16" t="str">
        <f>IFERROR(__xludf.DUMMYFUNCTION("""COMPUTED_VALUE"""),"[AI Fundamentals] Artificial Intelligence: Opportunities and Potential")</f>
        <v>[AI Fundamentals] Artificial Intelligence: Opportunities and Potential</v>
      </c>
      <c r="C35" s="17" t="str">
        <f>IFERROR(__xludf.DUMMYFUNCTION("""COMPUTED_VALUE"""),"Warum boomt KI gerade jetzt? Wie wird KI Märkte verändern und klaut sie unsere Jobs? Wenn es um künstliche Intelligenz geht, sind viele Fragen noch offen. Dieser Kurs räumt mit den häufigsten Fragezeichen zum Thema KI auf und erläutert Chancen sowie Poten"&amp;"ziale.")</f>
        <v>Warum boomt KI gerade jetzt? Wie wird KI Märkte verändern und klaut sie unsere Jobs? Wenn es um künstliche Intelligenz geht, sind viele Fragen noch offen. Dieser Kurs räumt mit den häufigsten Fragezeichen zum Thema KI auf und erläutert Chancen sowie Potenziale.</v>
      </c>
      <c r="D35" s="17" t="str">
        <f>IFERROR(__xludf.DUMMYFUNCTION("""COMPUTED_VALUE"""),"Why is AI booming right now? How will it reshape markets and impact our jobs? With many questions still unanswered about artificial intelligence, this course addresses the most common uncertainties and explores the vast opportunities and potential of AI.")</f>
        <v>Why is AI booming right now? How will it reshape markets and impact our jobs? With many questions still unanswered about artificial intelligence, this course addresses the most common uncertainties and explores the vast opportunities and potential of AI.</v>
      </c>
      <c r="E35" s="25" t="str">
        <f>IFERROR(__xludf.DUMMYFUNCTION("""COMPUTED_VALUE"""),"Digital Literacy")</f>
        <v>Digital Literacy</v>
      </c>
      <c r="F35" s="19" t="str">
        <f>IFERROR(__xludf.DUMMYFUNCTION("""COMPUTED_VALUE"""),"Pascal Finette")</f>
        <v>Pascal Finette</v>
      </c>
      <c r="G35" s="20">
        <f>IFERROR(__xludf.DUMMYFUNCTION("""COMPUTED_VALUE"""),22.0)</f>
        <v>22</v>
      </c>
      <c r="H35" s="20">
        <f>IFERROR(__xludf.DUMMYFUNCTION("""COMPUTED_VALUE"""),9.0)</f>
        <v>9</v>
      </c>
      <c r="I35" s="21" t="str">
        <f>IFERROR(__xludf.DUMMYFUNCTION("""COMPUTED_VALUE"""),"English, German")</f>
        <v>English, German</v>
      </c>
      <c r="J35" s="21" t="str">
        <f>IFERROR(__xludf.DUMMYFUNCTION("""COMPUTED_VALUE"""),"English, German")</f>
        <v>English, German</v>
      </c>
      <c r="K35" s="22">
        <f>IFERROR(__xludf.DUMMYFUNCTION("""COMPUTED_VALUE"""),45525.0)</f>
        <v>45525</v>
      </c>
      <c r="L35" s="23" t="str">
        <f>IFERROR(__xludf.DUMMYFUNCTION("""COMPUTED_VALUE"""),"https://masterplan.com/courses/kunstliche-intelligenz-chancen-und-potenziale")</f>
        <v>https://masterplan.com/courses/kunstliche-intelligenz-chancen-und-potenziale</v>
      </c>
    </row>
    <row r="36">
      <c r="A36" s="6" t="str">
        <f>IFERROR(__xludf.DUMMYFUNCTION("""COMPUTED_VALUE"""),"[KI Grundkurs] Was ist überhaupt eine KI?")</f>
        <v>[KI Grundkurs] Was ist überhaupt eine KI?</v>
      </c>
      <c r="B36" s="7" t="str">
        <f>IFERROR(__xludf.DUMMYFUNCTION("""COMPUTED_VALUE"""),"[AI Fundamentals] What is an AI anyway")</f>
        <v>[AI Fundamentals] What is an AI anyway</v>
      </c>
      <c r="C36" s="8" t="str">
        <f>IFERROR(__xludf.DUMMYFUNCTION("""COMPUTED_VALUE"""),"""Was genau erschaffen wir hier eigentlich?"" Eine Frage, mit der sich Menschen in der KI-Branche nicht oft genug beschäftigen. Allerdings: Was man nicht versteht, kann man auch nicht kontrollieren. Dieser TED-Talk gibt dir ein grundlegendes Verständnis d"&amp;"avon, was KI ist!")</f>
        <v>"Was genau erschaffen wir hier eigentlich?" Eine Frage, mit der sich Menschen in der KI-Branche nicht oft genug beschäftigen. Allerdings: Was man nicht versteht, kann man auch nicht kontrollieren. Dieser TED-Talk gibt dir ein grundlegendes Verständnis davon, was KI ist!</v>
      </c>
      <c r="D36" s="8" t="str">
        <f>IFERROR(__xludf.DUMMYFUNCTION("""COMPUTED_VALUE"""),"""What are we actually creating?"" It's a simple question that people in AI don't ask themselves often enough. The thing is, we can't control what we don't understand. But don't worry - this TED talk will give you a basic understanding of what AI is!")</f>
        <v>"What are we actually creating?" It's a simple question that people in AI don't ask themselves often enough. The thing is, we can't control what we don't understand. But don't worry - this TED talk will give you a basic understanding of what AI is!</v>
      </c>
      <c r="E36" s="25" t="str">
        <f>IFERROR(__xludf.DUMMYFUNCTION("""COMPUTED_VALUE"""),"Digital Literacy")</f>
        <v>Digital Literacy</v>
      </c>
      <c r="F36" s="10" t="str">
        <f>IFERROR(__xludf.DUMMYFUNCTION("""COMPUTED_VALUE"""),"TED - ")</f>
        <v>TED - </v>
      </c>
      <c r="G36" s="11">
        <f>IFERROR(__xludf.DUMMYFUNCTION("""COMPUTED_VALUE"""),22.0)</f>
        <v>22</v>
      </c>
      <c r="H36" s="11">
        <f>IFERROR(__xludf.DUMMYFUNCTION("""COMPUTED_VALUE"""),3.0)</f>
        <v>3</v>
      </c>
      <c r="I36" s="12" t="str">
        <f>IFERROR(__xludf.DUMMYFUNCTION("""COMPUTED_VALUE"""),"English, German")</f>
        <v>English, German</v>
      </c>
      <c r="J36" s="12" t="str">
        <f>IFERROR(__xludf.DUMMYFUNCTION("""COMPUTED_VALUE"""),"English")</f>
        <v>English</v>
      </c>
      <c r="K36" s="13">
        <f>IFERROR(__xludf.DUMMYFUNCTION("""COMPUTED_VALUE"""),45524.0)</f>
        <v>45524</v>
      </c>
      <c r="L36" s="14" t="str">
        <f>IFERROR(__xludf.DUMMYFUNCTION("""COMPUTED_VALUE"""),"https://masterplan.com/courses/was-ist-uberhaupt-eine-ki")</f>
        <v>https://masterplan.com/courses/was-ist-uberhaupt-eine-ki</v>
      </c>
    </row>
    <row r="37">
      <c r="A37" s="15" t="str">
        <f>IFERROR(__xludf.DUMMYFUNCTION("""COMPUTED_VALUE"""),"[KI Grundkurs] Einführung ""Grundkurs: Künstliche Intelligenz""")</f>
        <v>[KI Grundkurs] Einführung "Grundkurs: Künstliche Intelligenz"</v>
      </c>
      <c r="B37" s="16" t="str">
        <f>IFERROR(__xludf.DUMMYFUNCTION("""COMPUTED_VALUE"""),"[AI Fundamentals] Intro: ""Fundamentals of AI""")</f>
        <v>[AI Fundamentals] Intro: "Fundamentals of AI"</v>
      </c>
      <c r="C37" s="17" t="str">
        <f>IFERROR(__xludf.DUMMYFUNCTION("""COMPUTED_VALUE"""),"Künstliche Intelligenz ist DIE technische Revolution der letzten Jahre. Bis jetzt hast du aber von KI nur am Rande mitbekommen? Unser Grundkurs vermittelt dir das nötige Basiswissen rund um das Thema KI, um dich fit für die KI-Revolution zu machen! ")</f>
        <v>Künstliche Intelligenz ist DIE technische Revolution der letzten Jahre. Bis jetzt hast du aber von KI nur am Rande mitbekommen? Unser Grundkurs vermittelt dir das nötige Basiswissen rund um das Thema KI, um dich fit für die KI-Revolution zu machen! </v>
      </c>
      <c r="D37" s="17" t="str">
        <f>IFERROR(__xludf.DUMMYFUNCTION("""COMPUTED_VALUE"""),"Artificial Intelligence is THE technology revolution of the last few years. If you've only had a glimpse of AI, our AI Fundamentals course will give you the essential knowledge to prepare you for the AI revolution!")</f>
        <v>Artificial Intelligence is THE technology revolution of the last few years. If you've only had a glimpse of AI, our AI Fundamentals course will give you the essential knowledge to prepare you for the AI revolution!</v>
      </c>
      <c r="E37" s="25" t="str">
        <f>IFERROR(__xludf.DUMMYFUNCTION("""COMPUTED_VALUE"""),"Digital Literacy")</f>
        <v>Digital Literacy</v>
      </c>
      <c r="F37" s="19" t="str">
        <f>IFERROR(__xludf.DUMMYFUNCTION("""COMPUTED_VALUE"""),"Dionne Wudu")</f>
        <v>Dionne Wudu</v>
      </c>
      <c r="G37" s="20">
        <f>IFERROR(__xludf.DUMMYFUNCTION("""COMPUTED_VALUE"""),6.0)</f>
        <v>6</v>
      </c>
      <c r="H37" s="20">
        <f>IFERROR(__xludf.DUMMYFUNCTION("""COMPUTED_VALUE"""),1.0)</f>
        <v>1</v>
      </c>
      <c r="I37" s="21" t="str">
        <f>IFERROR(__xludf.DUMMYFUNCTION("""COMPUTED_VALUE"""),"English, German")</f>
        <v>English, German</v>
      </c>
      <c r="J37" s="21" t="str">
        <f>IFERROR(__xludf.DUMMYFUNCTION("""COMPUTED_VALUE"""),"English, German")</f>
        <v>English, German</v>
      </c>
      <c r="K37" s="22">
        <f>IFERROR(__xludf.DUMMYFUNCTION("""COMPUTED_VALUE"""),45523.0)</f>
        <v>45523</v>
      </c>
      <c r="L37" s="23" t="str">
        <f>IFERROR(__xludf.DUMMYFUNCTION("""COMPUTED_VALUE"""),"https://masterplan.com/courses/einfuhrung-grundkurs-kunstliche-intelligenz")</f>
        <v>https://masterplan.com/courses/einfuhrung-grundkurs-kunstliche-intelligenz</v>
      </c>
    </row>
    <row r="38">
      <c r="A38" s="6" t="str">
        <f>IFERROR(__xludf.DUMMYFUNCTION("""COMPUTED_VALUE"""),"Souveränes Auftreten durch Körpersprache ")</f>
        <v>Souveränes Auftreten durch Körpersprache </v>
      </c>
      <c r="B38" s="7" t="str">
        <f>IFERROR(__xludf.DUMMYFUNCTION("""COMPUTED_VALUE"""),"Projecting Confidence Through Body Language")</f>
        <v>Projecting Confidence Through Body Language</v>
      </c>
      <c r="C38" s="8" t="str">
        <f>IFERROR(__xludf.DUMMYFUNCTION("""COMPUTED_VALUE"""),"Mimik, Gestik, Augenkontakt – mach dich bereit, dein nonverbales Repertoire zu erweitern! Denn was nützen schon die richtigen Worte, wenn der Körper währenddessen eine ganz andere Sprache spricht?")</f>
        <v>Mimik, Gestik, Augenkontakt – mach dich bereit, dein nonverbales Repertoire zu erweitern! Denn was nützen schon die richtigen Worte, wenn der Körper währenddessen eine ganz andere Sprache spricht?</v>
      </c>
      <c r="D38" s="8" t="str">
        <f>IFERROR(__xludf.DUMMYFUNCTION("""COMPUTED_VALUE"""),"Facial expressions, gestures, eye contact – get ready to expand your nonverbal toolbox! After all, what good are the right words if your body is telling a different story?")</f>
        <v>Facial expressions, gestures, eye contact – get ready to expand your nonverbal toolbox! After all, what good are the right words if your body is telling a different story?</v>
      </c>
      <c r="E38" s="28" t="str">
        <f>IFERROR(__xludf.DUMMYFUNCTION("""COMPUTED_VALUE"""),"Communication")</f>
        <v>Communication</v>
      </c>
      <c r="F38" s="10" t="str">
        <f>IFERROR(__xludf.DUMMYFUNCTION("""COMPUTED_VALUE"""),"Zeit Akademie - Daniel J. Hanke")</f>
        <v>Zeit Akademie - Daniel J. Hanke</v>
      </c>
      <c r="G38" s="11">
        <f>IFERROR(__xludf.DUMMYFUNCTION("""COMPUTED_VALUE"""),22.0)</f>
        <v>22</v>
      </c>
      <c r="H38" s="11">
        <f>IFERROR(__xludf.DUMMYFUNCTION("""COMPUTED_VALUE"""),16.0)</f>
        <v>16</v>
      </c>
      <c r="I38" s="12" t="str">
        <f>IFERROR(__xludf.DUMMYFUNCTION("""COMPUTED_VALUE"""),"English, German")</f>
        <v>English, German</v>
      </c>
      <c r="J38" s="12" t="str">
        <f>IFERROR(__xludf.DUMMYFUNCTION("""COMPUTED_VALUE"""),"German")</f>
        <v>German</v>
      </c>
      <c r="K38" s="13">
        <f>IFERROR(__xludf.DUMMYFUNCTION("""COMPUTED_VALUE"""),45518.0)</f>
        <v>45518</v>
      </c>
      <c r="L38" s="14" t="str">
        <f>IFERROR(__xludf.DUMMYFUNCTION("""COMPUTED_VALUE"""),"https://masterplan.com/courses/souveranes-auftreten-durch-korpersprache")</f>
        <v>https://masterplan.com/courses/souveranes-auftreten-durch-korpersprache</v>
      </c>
    </row>
    <row r="39">
      <c r="A39" s="15" t="str">
        <f>IFERROR(__xludf.DUMMYFUNCTION("""COMPUTED_VALUE"""),"Die kreative Toolbox")</f>
        <v>Die kreative Toolbox</v>
      </c>
      <c r="B39" s="16" t="str">
        <f>IFERROR(__xludf.DUMMYFUNCTION("""COMPUTED_VALUE"""),"The Creative Toolbox")</f>
        <v>The Creative Toolbox</v>
      </c>
      <c r="C39" s="17" t="str">
        <f>IFERROR(__xludf.DUMMYFUNCTION("""COMPUTED_VALUE"""),"Du wärst gerne kreativer? Finde die richtigen Tools, mit denen du deine Kreativität, ja sogar die deines Teams stärken kannst. Dieser Kurs hilft euch sowohl divergentes als auch konvergentes Denken anzuregen, um schneller auf bessere Ideen zu kommen. ")</f>
        <v>Du wärst gerne kreativer? Finde die richtigen Tools, mit denen du deine Kreativität, ja sogar die deines Teams stärken kannst. Dieser Kurs hilft euch sowohl divergentes als auch konvergentes Denken anzuregen, um schneller auf bessere Ideen zu kommen. </v>
      </c>
      <c r="D39" s="17" t="str">
        <f>IFERROR(__xludf.DUMMYFUNCTION("""COMPUTED_VALUE"""),"Want to unleash your creativity and that of your team? Discover the tools that enhance creativity and encourage both divergent and convergent thinking. This course will help you generate better ideas faster.")</f>
        <v>Want to unleash your creativity and that of your team? Discover the tools that enhance creativity and encourage both divergent and convergent thinking. This course will help you generate better ideas faster.</v>
      </c>
      <c r="E39" s="18" t="str">
        <f>IFERROR(__xludf.DUMMYFUNCTION("""COMPUTED_VALUE"""),"Creativity and Innovation")</f>
        <v>Creativity and Innovation</v>
      </c>
      <c r="F39" s="19" t="str">
        <f>IFERROR(__xludf.DUMMYFUNCTION("""COMPUTED_VALUE"""),"Zeit Akademie - Dr. Jennifer Haase")</f>
        <v>Zeit Akademie - Dr. Jennifer Haase</v>
      </c>
      <c r="G39" s="20">
        <f>IFERROR(__xludf.DUMMYFUNCTION("""COMPUTED_VALUE"""),23.0)</f>
        <v>23</v>
      </c>
      <c r="H39" s="20">
        <f>IFERROR(__xludf.DUMMYFUNCTION("""COMPUTED_VALUE"""),17.0)</f>
        <v>17</v>
      </c>
      <c r="I39" s="21" t="str">
        <f>IFERROR(__xludf.DUMMYFUNCTION("""COMPUTED_VALUE"""),"English, German")</f>
        <v>English, German</v>
      </c>
      <c r="J39" s="21" t="str">
        <f>IFERROR(__xludf.DUMMYFUNCTION("""COMPUTED_VALUE"""),"German")</f>
        <v>German</v>
      </c>
      <c r="K39" s="22">
        <f>IFERROR(__xludf.DUMMYFUNCTION("""COMPUTED_VALUE"""),45506.0)</f>
        <v>45506</v>
      </c>
      <c r="L39" s="23" t="str">
        <f>IFERROR(__xludf.DUMMYFUNCTION("""COMPUTED_VALUE"""),"https://masterplan.com/courses/die-kreative-toolbox")</f>
        <v>https://masterplan.com/courses/die-kreative-toolbox</v>
      </c>
    </row>
    <row r="40">
      <c r="A40" s="6" t="str">
        <f>IFERROR(__xludf.DUMMYFUNCTION("""COMPUTED_VALUE"""),"Kreativität Digital")</f>
        <v>Kreativität Digital</v>
      </c>
      <c r="B40" s="7" t="str">
        <f>IFERROR(__xludf.DUMMYFUNCTION("""COMPUTED_VALUE"""),"Digital Creativity")</f>
        <v>Digital Creativity</v>
      </c>
      <c r="C40" s="8" t="str">
        <f>IFERROR(__xludf.DUMMYFUNCTION("""COMPUTED_VALUE"""),"In der digitalen Welt fehlt oft die Grenze zwischen kreativem Prozess und Ergebnis. So sind wir ständig im Feedback-Dialog mit Kollegen und Kunden. Wie der gelingt und wie wir dabei inspiert und trotz digitaler Kommunikation kreativ verbunden bleiben, zei"&amp;"gt dieser Kurs.")</f>
        <v>In der digitalen Welt fehlt oft die Grenze zwischen kreativem Prozess und Ergebnis. So sind wir ständig im Feedback-Dialog mit Kollegen und Kunden. Wie der gelingt und wie wir dabei inspiert und trotz digitaler Kommunikation kreativ verbunden bleiben, zeigt dieser Kurs.</v>
      </c>
      <c r="D40" s="8" t="str">
        <f>IFERROR(__xludf.DUMMYFUNCTION("""COMPUTED_VALUE"""),"In the digital world, we often can't separate creative process and result. Thus, we're in a constant feedback loop with colleagues and clients. This course shows how this dialogue can succeed and how we remain inspired and creatively connected in digital "&amp;"communication.")</f>
        <v>In the digital world, we often can't separate creative process and result. Thus, we're in a constant feedback loop with colleagues and clients. This course shows how this dialogue can succeed and how we remain inspired and creatively connected in digital communication.</v>
      </c>
      <c r="E40" s="18" t="str">
        <f>IFERROR(__xludf.DUMMYFUNCTION("""COMPUTED_VALUE"""),"Creativity and Innovation")</f>
        <v>Creativity and Innovation</v>
      </c>
      <c r="F40" s="10" t="str">
        <f>IFERROR(__xludf.DUMMYFUNCTION("""COMPUTED_VALUE"""),"Zeit Akademie - Sascha Friesike")</f>
        <v>Zeit Akademie - Sascha Friesike</v>
      </c>
      <c r="G40" s="11">
        <f>IFERROR(__xludf.DUMMYFUNCTION("""COMPUTED_VALUE"""),21.0)</f>
        <v>21</v>
      </c>
      <c r="H40" s="11">
        <f>IFERROR(__xludf.DUMMYFUNCTION("""COMPUTED_VALUE"""),18.0)</f>
        <v>18</v>
      </c>
      <c r="I40" s="12" t="str">
        <f>IFERROR(__xludf.DUMMYFUNCTION("""COMPUTED_VALUE"""),"English, German")</f>
        <v>English, German</v>
      </c>
      <c r="J40" s="12" t="str">
        <f>IFERROR(__xludf.DUMMYFUNCTION("""COMPUTED_VALUE"""),"German")</f>
        <v>German</v>
      </c>
      <c r="K40" s="13">
        <f>IFERROR(__xludf.DUMMYFUNCTION("""COMPUTED_VALUE"""),45506.0)</f>
        <v>45506</v>
      </c>
      <c r="L40" s="14" t="str">
        <f>IFERROR(__xludf.DUMMYFUNCTION("""COMPUTED_VALUE"""),"https://masterplan.com/courses/kreativitat-digital")</f>
        <v>https://masterplan.com/courses/kreativitat-digital</v>
      </c>
    </row>
    <row r="41">
      <c r="A41" s="15" t="str">
        <f>IFERROR(__xludf.DUMMYFUNCTION("""COMPUTED_VALUE"""),"Bessere Entscheidungen treffen")</f>
        <v>Bessere Entscheidungen treffen</v>
      </c>
      <c r="B41" s="16" t="str">
        <f>IFERROR(__xludf.DUMMYFUNCTION("""COMPUTED_VALUE"""),"Make Decisions with Confidence")</f>
        <v>Make Decisions with Confidence</v>
      </c>
      <c r="C41" s="17" t="str">
        <f>IFERROR(__xludf.DUMMYFUNCTION("""COMPUTED_VALUE"""),"Jeden Tag treffen wir Tausende von Entscheidungen – aber sind sie immer gut? In diesem Kurs lernst du, wann du schnell oder langsam entscheiden solltest, wie du Statistiken berücksichtigst und an alle möglichen Outcomes denkst, ehe du voreilig handelst. ")</f>
        <v>Jeden Tag treffen wir Tausende von Entscheidungen – aber sind sie immer gut? In diesem Kurs lernst du, wann du schnell oder langsam entscheiden solltest, wie du Statistiken berücksichtigst und an alle möglichen Outcomes denkst, ehe du voreilig handelst. </v>
      </c>
      <c r="D41" s="17" t="str">
        <f>IFERROR(__xludf.DUMMYFUNCTION("""COMPUTED_VALUE"""),"We make thousands of decisions every day. But how do you make good decisions? In this course you will learn to discern how fast or slowly you should decide, how to take statistics into account, and how to think of every possible outcome before jumping the"&amp;" gun. ")</f>
        <v>We make thousands of decisions every day. But how do you make good decisions? In this course you will learn to discern how fast or slowly you should decide, how to take statistics into account, and how to think of every possible outcome before jumping the gun. </v>
      </c>
      <c r="E41" s="29" t="str">
        <f>IFERROR(__xludf.DUMMYFUNCTION("""COMPUTED_VALUE"""),"Thinking and Deciding Clearly")</f>
        <v>Thinking and Deciding Clearly</v>
      </c>
      <c r="F41" s="19" t="str">
        <f>IFERROR(__xludf.DUMMYFUNCTION("""COMPUTED_VALUE"""),"Dionne Wudu")</f>
        <v>Dionne Wudu</v>
      </c>
      <c r="G41" s="20">
        <f>IFERROR(__xludf.DUMMYFUNCTION("""COMPUTED_VALUE"""),54.0)</f>
        <v>54</v>
      </c>
      <c r="H41" s="20">
        <f>IFERROR(__xludf.DUMMYFUNCTION("""COMPUTED_VALUE"""),28.0)</f>
        <v>28</v>
      </c>
      <c r="I41" s="21" t="str">
        <f>IFERROR(__xludf.DUMMYFUNCTION("""COMPUTED_VALUE"""),"English, German")</f>
        <v>English, German</v>
      </c>
      <c r="J41" s="21" t="str">
        <f>IFERROR(__xludf.DUMMYFUNCTION("""COMPUTED_VALUE"""),"English, German")</f>
        <v>English, German</v>
      </c>
      <c r="K41" s="22">
        <f>IFERROR(__xludf.DUMMYFUNCTION("""COMPUTED_VALUE"""),45506.0)</f>
        <v>45506</v>
      </c>
      <c r="L41" s="23" t="str">
        <f>IFERROR(__xludf.DUMMYFUNCTION("""COMPUTED_VALUE"""),"https://masterplan.com/courses/bessere-entscheidungen-treffen")</f>
        <v>https://masterplan.com/courses/bessere-entscheidungen-treffen</v>
      </c>
    </row>
    <row r="42">
      <c r="A42" s="6" t="str">
        <f>IFERROR(__xludf.DUMMYFUNCTION("""COMPUTED_VALUE"""),"Mit Storytelling auf Anhieb überzeugen")</f>
        <v>Mit Storytelling auf Anhieb überzeugen</v>
      </c>
      <c r="B42" s="7" t="str">
        <f>IFERROR(__xludf.DUMMYFUNCTION("""COMPUTED_VALUE"""),"Instantly Persuade with Storytelling")</f>
        <v>Instantly Persuade with Storytelling</v>
      </c>
      <c r="C42" s="8" t="str">
        <f>IFERROR(__xludf.DUMMYFUNCTION("""COMPUTED_VALUE"""),"Wie schaffst du es, gehört und verstanden zu werden? Wenn du andere für dein Anliegen gewinnen möchtest, brauchst du klare Botschaften und richtig starke Geschichten. Denn ohne Botschaft wird nichts verstanden und ohne Geschichten bleibt beim Gegenüber ni"&amp;"chts hängen!")</f>
        <v>Wie schaffst du es, gehört und verstanden zu werden? Wenn du andere für dein Anliegen gewinnen möchtest, brauchst du klare Botschaften und richtig starke Geschichten. Denn ohne Botschaft wird nichts verstanden und ohne Geschichten bleibt beim Gegenüber nichts hängen!</v>
      </c>
      <c r="D42" s="8" t="str">
        <f>IFERROR(__xludf.DUMMYFUNCTION("""COMPUTED_VALUE"""),"How do you make sure people hear and understand you? If you want to persuade others, you need clear messages and truly powerful stories. Without a message, nothing will be understood, and without stories, nothing will stick with your audience!")</f>
        <v>How do you make sure people hear and understand you? If you want to persuade others, you need clear messages and truly powerful stories. Without a message, nothing will be understood, and without stories, nothing will stick with your audience!</v>
      </c>
      <c r="E42" s="28" t="str">
        <f>IFERROR(__xludf.DUMMYFUNCTION("""COMPUTED_VALUE"""),"Communication")</f>
        <v>Communication</v>
      </c>
      <c r="F42" s="10" t="str">
        <f>IFERROR(__xludf.DUMMYFUNCTION("""COMPUTED_VALUE"""),"Zeit Akademie - Daniel J. Hanke")</f>
        <v>Zeit Akademie - Daniel J. Hanke</v>
      </c>
      <c r="G42" s="11">
        <f>IFERROR(__xludf.DUMMYFUNCTION("""COMPUTED_VALUE"""),31.0)</f>
        <v>31</v>
      </c>
      <c r="H42" s="11">
        <f>IFERROR(__xludf.DUMMYFUNCTION("""COMPUTED_VALUE"""),24.0)</f>
        <v>24</v>
      </c>
      <c r="I42" s="12" t="str">
        <f>IFERROR(__xludf.DUMMYFUNCTION("""COMPUTED_VALUE"""),"English, German")</f>
        <v>English, German</v>
      </c>
      <c r="J42" s="12" t="str">
        <f>IFERROR(__xludf.DUMMYFUNCTION("""COMPUTED_VALUE"""),"German")</f>
        <v>German</v>
      </c>
      <c r="K42" s="13">
        <f>IFERROR(__xludf.DUMMYFUNCTION("""COMPUTED_VALUE"""),45504.0)</f>
        <v>45504</v>
      </c>
      <c r="L42" s="14" t="str">
        <f>IFERROR(__xludf.DUMMYFUNCTION("""COMPUTED_VALUE"""),"https://masterplan.com/courses/mit-storytelling-auf-anhieb-uberzeugen")</f>
        <v>https://masterplan.com/courses/mit-storytelling-auf-anhieb-uberzeugen</v>
      </c>
    </row>
    <row r="43">
      <c r="A43" s="15" t="str">
        <f>IFERROR(__xludf.DUMMYFUNCTION("""COMPUTED_VALUE"""),"Wie Kreativität funktioniert")</f>
        <v>Wie Kreativität funktioniert</v>
      </c>
      <c r="B43" s="16" t="str">
        <f>IFERROR(__xludf.DUMMYFUNCTION("""COMPUTED_VALUE"""),"How Creativity happens")</f>
        <v>How Creativity happens</v>
      </c>
      <c r="C43" s="17" t="str">
        <f>IFERROR(__xludf.DUMMYFUNCTION("""COMPUTED_VALUE"""),"Beim Thema Kreativität sind viele Menschen verunsichert. Dabei ist es eine Fähigkeit, die wir alle besitzen. Dieser Kurs erklärt, wie du deine Kreativität zum Fließen bringst, egal ob du allein, oder im Team arbeitest. ")</f>
        <v>Beim Thema Kreativität sind viele Menschen verunsichert. Dabei ist es eine Fähigkeit, die wir alle besitzen. Dieser Kurs erklärt, wie du deine Kreativität zum Fließen bringst, egal ob du allein, oder im Team arbeitest. </v>
      </c>
      <c r="D43" s="17" t="str">
        <f>IFERROR(__xludf.DUMMYFUNCTION("""COMPUTED_VALUE"""),"Many people feel anxious when it comes to creativity. The good news: It's a skill we all have. This course explains how you can tap into your creativity and what you can do to get ideas flowing both solo and as a team. ")</f>
        <v>Many people feel anxious when it comes to creativity. The good news: It's a skill we all have. This course explains how you can tap into your creativity and what you can do to get ideas flowing both solo and as a team. </v>
      </c>
      <c r="E43" s="18" t="str">
        <f>IFERROR(__xludf.DUMMYFUNCTION("""COMPUTED_VALUE"""),"Creativity and Innovation")</f>
        <v>Creativity and Innovation</v>
      </c>
      <c r="F43" s="19" t="str">
        <f>IFERROR(__xludf.DUMMYFUNCTION("""COMPUTED_VALUE"""),"Zeit Akademie - Dr. Jennifer Haase")</f>
        <v>Zeit Akademie - Dr. Jennifer Haase</v>
      </c>
      <c r="G43" s="20">
        <f>IFERROR(__xludf.DUMMYFUNCTION("""COMPUTED_VALUE"""),39.0)</f>
        <v>39</v>
      </c>
      <c r="H43" s="20">
        <f>IFERROR(__xludf.DUMMYFUNCTION("""COMPUTED_VALUE"""),13.0)</f>
        <v>13</v>
      </c>
      <c r="I43" s="21" t="str">
        <f>IFERROR(__xludf.DUMMYFUNCTION("""COMPUTED_VALUE"""),"English, German")</f>
        <v>English, German</v>
      </c>
      <c r="J43" s="21" t="str">
        <f>IFERROR(__xludf.DUMMYFUNCTION("""COMPUTED_VALUE"""),"German")</f>
        <v>German</v>
      </c>
      <c r="K43" s="22">
        <f>IFERROR(__xludf.DUMMYFUNCTION("""COMPUTED_VALUE"""),45504.0)</f>
        <v>45504</v>
      </c>
      <c r="L43" s="23" t="str">
        <f>IFERROR(__xludf.DUMMYFUNCTION("""COMPUTED_VALUE"""),"https://masterplan.com/courses/wie-kreativitat-funktioniert")</f>
        <v>https://masterplan.com/courses/wie-kreativitat-funktioniert</v>
      </c>
    </row>
    <row r="44">
      <c r="A44" s="6" t="str">
        <f>IFERROR(__xludf.DUMMYFUNCTION("""COMPUTED_VALUE"""),"Hybrides Führen II: Verbinden und stärken")</f>
        <v>Hybrides Führen II: Verbinden und stärken</v>
      </c>
      <c r="B44" s="7" t="str">
        <f>IFERROR(__xludf.DUMMYFUNCTION("""COMPUTED_VALUE"""),"Hybrid Leadership II: Connect and Empower")</f>
        <v>Hybrid Leadership II: Connect and Empower</v>
      </c>
      <c r="C44" s="8" t="str">
        <f>IFERROR(__xludf.DUMMYFUNCTION("""COMPUTED_VALUE"""),"""Wir müssen zurück ins Büro, um uns verbunden zu fühlen!"" Das stimmt so nicht ganz. In diesem Kurs lernst du, wie du Beziehungen in hybriden Teams aufbauen und pflegen kannst, und inwiefern Empowerment den Weg zum Erfolg ebnet.")</f>
        <v>"Wir müssen zurück ins Büro, um uns verbunden zu fühlen!" Das stimmt so nicht ganz. In diesem Kurs lernst du, wie du Beziehungen in hybriden Teams aufbauen und pflegen kannst, und inwiefern Empowerment den Weg zum Erfolg ebnet.</v>
      </c>
      <c r="D44" s="8" t="str">
        <f>IFERROR(__xludf.DUMMYFUNCTION("""COMPUTED_VALUE"""),"""We need to be at the office to feel connected!"" We beg to differ. In this course, you will learn how to build and maintain relationships within hybrid teams, and also how empowering your employees will lead you down the path to success.")</f>
        <v>"We need to be at the office to feel connected!" We beg to differ. In this course, you will learn how to build and maintain relationships within hybrid teams, and also how empowering your employees will lead you down the path to success.</v>
      </c>
      <c r="E44" s="26" t="str">
        <f>IFERROR(__xludf.DUMMYFUNCTION("""COMPUTED_VALUE"""),"Collaboration and Leadership")</f>
        <v>Collaboration and Leadership</v>
      </c>
      <c r="F44" s="10" t="str">
        <f>IFERROR(__xludf.DUMMYFUNCTION("""COMPUTED_VALUE"""),"Zeit Akademie - Sabrina Gall, Dr. Jörg Wittenberg")</f>
        <v>Zeit Akademie - Sabrina Gall, Dr. Jörg Wittenberg</v>
      </c>
      <c r="G44" s="11">
        <f>IFERROR(__xludf.DUMMYFUNCTION("""COMPUTED_VALUE"""),35.0)</f>
        <v>35</v>
      </c>
      <c r="H44" s="11">
        <f>IFERROR(__xludf.DUMMYFUNCTION("""COMPUTED_VALUE"""),23.0)</f>
        <v>23</v>
      </c>
      <c r="I44" s="12" t="str">
        <f>IFERROR(__xludf.DUMMYFUNCTION("""COMPUTED_VALUE"""),"English, German")</f>
        <v>English, German</v>
      </c>
      <c r="J44" s="12" t="str">
        <f>IFERROR(__xludf.DUMMYFUNCTION("""COMPUTED_VALUE"""),"German")</f>
        <v>German</v>
      </c>
      <c r="K44" s="13">
        <f>IFERROR(__xludf.DUMMYFUNCTION("""COMPUTED_VALUE"""),45469.0)</f>
        <v>45469</v>
      </c>
      <c r="L44" s="14" t="str">
        <f>IFERROR(__xludf.DUMMYFUNCTION("""COMPUTED_VALUE"""),"https://masterplan.com/courses/hybrides-fuhren-ii-verbinden-und-starken")</f>
        <v>https://masterplan.com/courses/hybrides-fuhren-ii-verbinden-und-starken</v>
      </c>
    </row>
    <row r="45">
      <c r="A45" s="15" t="str">
        <f>IFERROR(__xludf.DUMMYFUNCTION("""COMPUTED_VALUE"""),"Hybrides Führen I: Willkommen im New Normal")</f>
        <v>Hybrides Führen I: Willkommen im New Normal</v>
      </c>
      <c r="B45" s="16" t="str">
        <f>IFERROR(__xludf.DUMMYFUNCTION("""COMPUTED_VALUE"""),"Hybrid Leadership I: Welcome to the New Normal")</f>
        <v>Hybrid Leadership I: Welcome to the New Normal</v>
      </c>
      <c r="C45" s="17" t="str">
        <f>IFERROR(__xludf.DUMMYFUNCTION("""COMPUTED_VALUE"""),"""New Normal"" – remote zu arbeiten ist heute kaum wegzudenken. Das Management muss sich neu definieren, doch welche Fähigkeiten braucht es dazu? Dr. Jörg Wittenberg und Sabrina Gall zeigen dir, wie du dein hybrides Team erfolgreich führst.")</f>
        <v>"New Normal" – remote zu arbeiten ist heute kaum wegzudenken. Das Management muss sich neu definieren, doch welche Fähigkeiten braucht es dazu? Dr. Jörg Wittenberg und Sabrina Gall zeigen dir, wie du dein hybrides Team erfolgreich führst.</v>
      </c>
      <c r="D45" s="17" t="str">
        <f>IFERROR(__xludf.DUMMYFUNCTION("""COMPUTED_VALUE"""),"""New Normal"" – remote zu arbeiten ist heute kaum wegzudenken. Das Management muss sich neu definieren, doch welche Fähigkeiten braucht es dazu? Dr. Jörg Wittenberg und Sabrina Gall zeigen dir, wie du dein hybrides Team erfolgreich führst.")</f>
        <v>"New Normal" – remote zu arbeiten ist heute kaum wegzudenken. Das Management muss sich neu definieren, doch welche Fähigkeiten braucht es dazu? Dr. Jörg Wittenberg und Sabrina Gall zeigen dir, wie du dein hybrides Team erfolgreich führst.</v>
      </c>
      <c r="E45" s="26" t="str">
        <f>IFERROR(__xludf.DUMMYFUNCTION("""COMPUTED_VALUE"""),"Collaboration and Leadership")</f>
        <v>Collaboration and Leadership</v>
      </c>
      <c r="F45" s="19" t="str">
        <f>IFERROR(__xludf.DUMMYFUNCTION("""COMPUTED_VALUE"""),"Zeit Akademie - Sabrina Gall, Dr. Jörg Wittenberg")</f>
        <v>Zeit Akademie - Sabrina Gall, Dr. Jörg Wittenberg</v>
      </c>
      <c r="G45" s="20">
        <f>IFERROR(__xludf.DUMMYFUNCTION("""COMPUTED_VALUE"""),42.0)</f>
        <v>42</v>
      </c>
      <c r="H45" s="20">
        <f>IFERROR(__xludf.DUMMYFUNCTION("""COMPUTED_VALUE"""),25.0)</f>
        <v>25</v>
      </c>
      <c r="I45" s="21" t="str">
        <f>IFERROR(__xludf.DUMMYFUNCTION("""COMPUTED_VALUE"""),"English, German")</f>
        <v>English, German</v>
      </c>
      <c r="J45" s="21" t="str">
        <f>IFERROR(__xludf.DUMMYFUNCTION("""COMPUTED_VALUE"""),"German")</f>
        <v>German</v>
      </c>
      <c r="K45" s="22">
        <f>IFERROR(__xludf.DUMMYFUNCTION("""COMPUTED_VALUE"""),45457.0)</f>
        <v>45457</v>
      </c>
      <c r="L45" s="23" t="str">
        <f>IFERROR(__xludf.DUMMYFUNCTION("""COMPUTED_VALUE"""),"https://masterplan.com/courses/hybrides-fuhren-i-willkommen-im-new-normal")</f>
        <v>https://masterplan.com/courses/hybrides-fuhren-i-willkommen-im-new-normal</v>
      </c>
    </row>
    <row r="46">
      <c r="A46" s="6" t="str">
        <f>IFERROR(__xludf.DUMMYFUNCTION("""COMPUTED_VALUE"""),"Irreführende Diagramme")</f>
        <v>Irreführende Diagramme</v>
      </c>
      <c r="B46" s="7" t="str">
        <f>IFERROR(__xludf.DUMMYFUNCTION("""COMPUTED_VALUE"""),"Misleading Diagrams")</f>
        <v>Misleading Diagrams</v>
      </c>
      <c r="C46" s="8" t="str">
        <f>IFERROR(__xludf.DUMMYFUNCTION("""COMPUTED_VALUE"""),"Lass dich nicht in die Irre führen! Lerne, die subtilen Tricks hinter scheinbar klaren Grafiken zu entwirren und entwickle kritisches Denken, um manipulative Darstellungen zu erkennen und Informationen präzise zu interpretieren!")</f>
        <v>Lass dich nicht in die Irre führen! Lerne, die subtilen Tricks hinter scheinbar klaren Grafiken zu entwirren und entwickle kritisches Denken, um manipulative Darstellungen zu erkennen und Informationen präzise zu interpretieren!</v>
      </c>
      <c r="D46" s="8" t="str">
        <f>IFERROR(__xludf.DUMMYFUNCTION("""COMPUTED_VALUE"""),"Don't be fooled! Learn to unravel the subtle tricks behind seemingly straightforward graphics and develop critical thinking skills to identify manipulation and accurately interpret information!")</f>
        <v>Don't be fooled! Learn to unravel the subtle tricks behind seemingly straightforward graphics and develop critical thinking skills to identify manipulation and accurately interpret information!</v>
      </c>
      <c r="E46" s="25" t="str">
        <f>IFERROR(__xludf.DUMMYFUNCTION("""COMPUTED_VALUE"""),"Digital Literacy")</f>
        <v>Digital Literacy</v>
      </c>
      <c r="F46" s="10" t="str">
        <f>IFERROR(__xludf.DUMMYFUNCTION("""COMPUTED_VALUE"""),"Masterplan - Nadine Wagenaar")</f>
        <v>Masterplan - Nadine Wagenaar</v>
      </c>
      <c r="G46" s="11">
        <f>IFERROR(__xludf.DUMMYFUNCTION("""COMPUTED_VALUE"""),3.0)</f>
        <v>3</v>
      </c>
      <c r="H46" s="11">
        <f>IFERROR(__xludf.DUMMYFUNCTION("""COMPUTED_VALUE"""),3.0)</f>
        <v>3</v>
      </c>
      <c r="I46" s="12" t="str">
        <f>IFERROR(__xludf.DUMMYFUNCTION("""COMPUTED_VALUE"""),"English, German")</f>
        <v>English, German</v>
      </c>
      <c r="J46" s="12" t="str">
        <f>IFERROR(__xludf.DUMMYFUNCTION("""COMPUTED_VALUE"""),"English, German")</f>
        <v>English, German</v>
      </c>
      <c r="K46" s="13">
        <f>IFERROR(__xludf.DUMMYFUNCTION("""COMPUTED_VALUE"""),45456.0)</f>
        <v>45456</v>
      </c>
      <c r="L46" s="14" t="str">
        <f>IFERROR(__xludf.DUMMYFUNCTION("""COMPUTED_VALUE"""),"https://masterplan.com/courses/mp-shorts-irrefuhrende-diagramme")</f>
        <v>https://masterplan.com/courses/mp-shorts-irrefuhrende-diagramme</v>
      </c>
    </row>
    <row r="47">
      <c r="A47" s="15" t="str">
        <f>IFERROR(__xludf.DUMMYFUNCTION("""COMPUTED_VALUE"""),"Interkulturelle Kompetenz IV: Interkulturelle Kompetenz")</f>
        <v>Interkulturelle Kompetenz IV: Interkulturelle Kompetenz</v>
      </c>
      <c r="B47" s="16" t="str">
        <f>IFERROR(__xludf.DUMMYFUNCTION("""COMPUTED_VALUE"""),"Intercultural Competence IV: Intercultural Competence")</f>
        <v>Intercultural Competence IV: Intercultural Competence</v>
      </c>
      <c r="C47" s="17" t="str">
        <f>IFERROR(__xludf.DUMMYFUNCTION("""COMPUTED_VALUE"""),"Bereit, deine interkulturellen Kompetenzen aufs nächste Level zu bringen? Im letzten Teil unserer Kursreihe vertiefst du dein Verständnis für kulturelle Dynamiken und lernst, wie du effektiv und sicher in interkulturellen Umgebungen agierst.")</f>
        <v>Bereit, deine interkulturellen Kompetenzen aufs nächste Level zu bringen? Im letzten Teil unserer Kursreihe vertiefst du dein Verständnis für kulturelle Dynamiken und lernst, wie du effektiv und sicher in interkulturellen Umgebungen agierst.</v>
      </c>
      <c r="D47" s="17" t="str">
        <f>IFERROR(__xludf.DUMMYFUNCTION("""COMPUTED_VALUE"""),"Ready to elevate your intercultural skills? In the final installment of our series, deepen your understanding of cultural dynamics and learn how to navigate intercultural environments effectively and confidently.")</f>
        <v>Ready to elevate your intercultural skills? In the final installment of our series, deepen your understanding of cultural dynamics and learn how to navigate intercultural environments effectively and confidently.</v>
      </c>
      <c r="E47" s="9" t="str">
        <f>IFERROR(__xludf.DUMMYFUNCTION("""COMPUTED_VALUE"""),"Global Citizenship")</f>
        <v>Global Citizenship</v>
      </c>
      <c r="F47" s="19" t="str">
        <f>IFERROR(__xludf.DUMMYFUNCTION("""COMPUTED_VALUE"""),"Zeit Akademie - Ulrich Kühnen, Dr. Nadine Binder")</f>
        <v>Zeit Akademie - Ulrich Kühnen, Dr. Nadine Binder</v>
      </c>
      <c r="G47" s="20">
        <f>IFERROR(__xludf.DUMMYFUNCTION("""COMPUTED_VALUE"""),29.0)</f>
        <v>29</v>
      </c>
      <c r="H47" s="20">
        <f>IFERROR(__xludf.DUMMYFUNCTION("""COMPUTED_VALUE"""),19.0)</f>
        <v>19</v>
      </c>
      <c r="I47" s="21" t="str">
        <f>IFERROR(__xludf.DUMMYFUNCTION("""COMPUTED_VALUE"""),"English, German")</f>
        <v>English, German</v>
      </c>
      <c r="J47" s="21" t="str">
        <f>IFERROR(__xludf.DUMMYFUNCTION("""COMPUTED_VALUE"""),"German")</f>
        <v>German</v>
      </c>
      <c r="K47" s="22">
        <f>IFERROR(__xludf.DUMMYFUNCTION("""COMPUTED_VALUE"""),45447.0)</f>
        <v>45447</v>
      </c>
      <c r="L47" s="23" t="str">
        <f>IFERROR(__xludf.DUMMYFUNCTION("""COMPUTED_VALUE"""),"https://masterplan.com/courses/interkulturelle-kompetenz-iv-interkulturelle-kompetenz")</f>
        <v>https://masterplan.com/courses/interkulturelle-kompetenz-iv-interkulturelle-kompetenz</v>
      </c>
    </row>
    <row r="48">
      <c r="A48" s="6" t="str">
        <f>IFERROR(__xludf.DUMMYFUNCTION("""COMPUTED_VALUE"""),"Technologien der Zukunft")</f>
        <v>Technologien der Zukunft</v>
      </c>
      <c r="B48" s="7" t="str">
        <f>IFERROR(__xludf.DUMMYFUNCTION("""COMPUTED_VALUE"""),"Technology of the Future")</f>
        <v>Technology of the Future</v>
      </c>
      <c r="C48" s="8" t="str">
        <f>IFERROR(__xludf.DUMMYFUNCTION("""COMPUTED_VALUE"""),"Nur ein Hype? Emerging Technologies revolutionieren Bereiche wie Medizin, Unterhaltung und Bildung. Aber was ist mit Datenschutz, Ethik, Sicherheit? In diesem Kurs erkundet Thomas Bedenk die Anwendungen, Auswirkungen und Kritik dieser neuen Möglichkeiten.")</f>
        <v>Nur ein Hype? Emerging Technologies revolutionieren Bereiche wie Medizin, Unterhaltung und Bildung. Aber was ist mit Datenschutz, Ethik, Sicherheit? In diesem Kurs erkundet Thomas Bedenk die Anwendungen, Auswirkungen und Kritik dieser neuen Möglichkeiten.</v>
      </c>
      <c r="D48" s="8" t="str">
        <f>IFERROR(__xludf.DUMMYFUNCTION("""COMPUTED_VALUE"""),"All just hype? Emerging technologies are revolutionizing areas like medicine, entertainment and education. But what about data protection, ethics and security? In this course, Thomas Bedenk explores the applications, effects and criticism of these new pos"&amp;"sibilities.")</f>
        <v>All just hype? Emerging technologies are revolutionizing areas like medicine, entertainment and education. But what about data protection, ethics and security? In this course, Thomas Bedenk explores the applications, effects and criticism of these new possibilities.</v>
      </c>
      <c r="E48" s="25" t="str">
        <f>IFERROR(__xludf.DUMMYFUNCTION("""COMPUTED_VALUE"""),"Digital Literacy")</f>
        <v>Digital Literacy</v>
      </c>
      <c r="F48" s="10" t="str">
        <f>IFERROR(__xludf.DUMMYFUNCTION("""COMPUTED_VALUE"""),"Zeit Akademie - Thomas Bedenk")</f>
        <v>Zeit Akademie - Thomas Bedenk</v>
      </c>
      <c r="G48" s="11">
        <f>IFERROR(__xludf.DUMMYFUNCTION("""COMPUTED_VALUE"""),66.0)</f>
        <v>66</v>
      </c>
      <c r="H48" s="11">
        <f>IFERROR(__xludf.DUMMYFUNCTION("""COMPUTED_VALUE"""),26.0)</f>
        <v>26</v>
      </c>
      <c r="I48" s="12" t="str">
        <f>IFERROR(__xludf.DUMMYFUNCTION("""COMPUTED_VALUE"""),"English, German")</f>
        <v>English, German</v>
      </c>
      <c r="J48" s="12" t="str">
        <f>IFERROR(__xludf.DUMMYFUNCTION("""COMPUTED_VALUE"""),"German")</f>
        <v>German</v>
      </c>
      <c r="K48" s="13">
        <f>IFERROR(__xludf.DUMMYFUNCTION("""COMPUTED_VALUE"""),45447.0)</f>
        <v>45447</v>
      </c>
      <c r="L48" s="14" t="str">
        <f>IFERROR(__xludf.DUMMYFUNCTION("""COMPUTED_VALUE"""),"https://masterplan.com/courses/technologien-der-zukunft")</f>
        <v>https://masterplan.com/courses/technologien-der-zukunft</v>
      </c>
    </row>
    <row r="49">
      <c r="A49" s="15" t="str">
        <f>IFERROR(__xludf.DUMMYFUNCTION("""COMPUTED_VALUE"""),"Interkulturelle Kompetenz III: Heterogene Arbeitsstile in Teams")</f>
        <v>Interkulturelle Kompetenz III: Heterogene Arbeitsstile in Teams</v>
      </c>
      <c r="B49" s="16" t="str">
        <f>IFERROR(__xludf.DUMMYFUNCTION("""COMPUTED_VALUE"""),"Intercultural Competence III: Heterogeneous Working Styles")</f>
        <v>Intercultural Competence III: Heterogeneous Working Styles</v>
      </c>
      <c r="C49" s="17" t="str">
        <f>IFERROR(__xludf.DUMMYFUNCTION("""COMPUTED_VALUE"""),"Andere Länder, andere Arbeitsstile! Das Verständnis für sach- und beziehungsorientierte Kulturen, monochron und polychron sowie für unterschiedliche Führungsstile ist entscheidend, um effektiv im Team zusammenarbeiten zu können.")</f>
        <v>Andere Länder, andere Arbeitsstile! Das Verständnis für sach- und beziehungsorientierte Kulturen, monochron und polychron sowie für unterschiedliche Führungsstile ist entscheidend, um effektiv im Team zusammenarbeiten zu können.</v>
      </c>
      <c r="D49" s="17" t="str">
        <f>IFERROR(__xludf.DUMMYFUNCTION("""COMPUTED_VALUE"""),"Explore working styles from around the globe! Understand task vs. relationship-driven cultures, monochronic vs. polychronic time management, and diverse leadership styles to excel in international teamwork.")</f>
        <v>Explore working styles from around the globe! Understand task vs. relationship-driven cultures, monochronic vs. polychronic time management, and diverse leadership styles to excel in international teamwork.</v>
      </c>
      <c r="E49" s="9" t="str">
        <f>IFERROR(__xludf.DUMMYFUNCTION("""COMPUTED_VALUE"""),"Global Citizenship")</f>
        <v>Global Citizenship</v>
      </c>
      <c r="F49" s="19" t="str">
        <f>IFERROR(__xludf.DUMMYFUNCTION("""COMPUTED_VALUE"""),"Zeit Akademie - Ulrich Kühnen, Dr. Nadine Binder")</f>
        <v>Zeit Akademie - Ulrich Kühnen, Dr. Nadine Binder</v>
      </c>
      <c r="G49" s="20">
        <f>IFERROR(__xludf.DUMMYFUNCTION("""COMPUTED_VALUE"""),32.0)</f>
        <v>32</v>
      </c>
      <c r="H49" s="20">
        <f>IFERROR(__xludf.DUMMYFUNCTION("""COMPUTED_VALUE"""),19.0)</f>
        <v>19</v>
      </c>
      <c r="I49" s="21" t="str">
        <f>IFERROR(__xludf.DUMMYFUNCTION("""COMPUTED_VALUE"""),"English, German")</f>
        <v>English, German</v>
      </c>
      <c r="J49" s="21" t="str">
        <f>IFERROR(__xludf.DUMMYFUNCTION("""COMPUTED_VALUE"""),"German")</f>
        <v>German</v>
      </c>
      <c r="K49" s="22">
        <f>IFERROR(__xludf.DUMMYFUNCTION("""COMPUTED_VALUE"""),45441.0)</f>
        <v>45441</v>
      </c>
      <c r="L49" s="23" t="str">
        <f>IFERROR(__xludf.DUMMYFUNCTION("""COMPUTED_VALUE"""),"https://masterplan.com/courses/interkulturelle-kompetenz-iii-heterogene-arbeitsstile-in-teams")</f>
        <v>https://masterplan.com/courses/interkulturelle-kompetenz-iii-heterogene-arbeitsstile-in-teams</v>
      </c>
    </row>
    <row r="50">
      <c r="A50" s="6" t="str">
        <f>IFERROR(__xludf.DUMMYFUNCTION("""COMPUTED_VALUE"""),"Interkulturelle Kompetenz II: Kommunikation meistern")</f>
        <v>Interkulturelle Kompetenz II: Kommunikation meistern</v>
      </c>
      <c r="B50" s="7" t="str">
        <f>IFERROR(__xludf.DUMMYFUNCTION("""COMPUTED_VALUE"""),"Intercultural Competence II: Mastering Communication")</f>
        <v>Intercultural Competence II: Mastering Communication</v>
      </c>
      <c r="C50" s="8" t="str">
        <f>IFERROR(__xludf.DUMMYFUNCTION("""COMPUTED_VALUE"""),"Was passiert, wenn zwei unterschiedliche Kommunikationsstile aufeinandertreffen? Es kommt zu Missverständnissen - vor allem in der interkulturellen Kommunikation. Auf was du in solchen Situationen achten solltest, um sie souverän zu meistern, erfährst du "&amp;"in diesem Kurs!")</f>
        <v>Was passiert, wenn zwei unterschiedliche Kommunikationsstile aufeinandertreffen? Es kommt zu Missverständnissen - vor allem in der interkulturellen Kommunikation. Auf was du in solchen Situationen achten solltest, um sie souverän zu meistern, erfährst du in diesem Kurs!</v>
      </c>
      <c r="D50" s="8" t="str">
        <f>IFERROR(__xludf.DUMMYFUNCTION("""COMPUTED_VALUE"""),"What happens when two different communication styles collide? Misunderstandings arise – especially in intercultural communication. Learn how to navigate these situations with confidence in this course!")</f>
        <v>What happens when two different communication styles collide? Misunderstandings arise – especially in intercultural communication. Learn how to navigate these situations with confidence in this course!</v>
      </c>
      <c r="E50" s="9" t="str">
        <f>IFERROR(__xludf.DUMMYFUNCTION("""COMPUTED_VALUE"""),"Global Citizenship")</f>
        <v>Global Citizenship</v>
      </c>
      <c r="F50" s="10" t="str">
        <f>IFERROR(__xludf.DUMMYFUNCTION("""COMPUTED_VALUE"""),"Zeit Akademie - Ulrich Kühnen, Dr. Nadine Binder")</f>
        <v>Zeit Akademie - Ulrich Kühnen, Dr. Nadine Binder</v>
      </c>
      <c r="G50" s="11">
        <f>IFERROR(__xludf.DUMMYFUNCTION("""COMPUTED_VALUE"""),29.0)</f>
        <v>29</v>
      </c>
      <c r="H50" s="11">
        <f>IFERROR(__xludf.DUMMYFUNCTION("""COMPUTED_VALUE"""),19.0)</f>
        <v>19</v>
      </c>
      <c r="I50" s="12" t="str">
        <f>IFERROR(__xludf.DUMMYFUNCTION("""COMPUTED_VALUE"""),"English, German")</f>
        <v>English, German</v>
      </c>
      <c r="J50" s="12" t="str">
        <f>IFERROR(__xludf.DUMMYFUNCTION("""COMPUTED_VALUE"""),"German")</f>
        <v>German</v>
      </c>
      <c r="K50" s="13">
        <f>IFERROR(__xludf.DUMMYFUNCTION("""COMPUTED_VALUE"""),45426.0)</f>
        <v>45426</v>
      </c>
      <c r="L50" s="14" t="str">
        <f>IFERROR(__xludf.DUMMYFUNCTION("""COMPUTED_VALUE"""),"https://masterplan.com/courses/interkulturelle-kompetenz-ii-kommunikation-meistern")</f>
        <v>https://masterplan.com/courses/interkulturelle-kompetenz-ii-kommunikation-meistern</v>
      </c>
    </row>
    <row r="51">
      <c r="A51" s="15" t="str">
        <f>IFERROR(__xludf.DUMMYFUNCTION("""COMPUTED_VALUE"""),"Interkulturelle Kompetenz I: Kultur verstehen")</f>
        <v>Interkulturelle Kompetenz I: Kultur verstehen</v>
      </c>
      <c r="B51" s="16" t="str">
        <f>IFERROR(__xludf.DUMMYFUNCTION("""COMPUTED_VALUE"""),"Intercultural Competence I: Understanding Culture")</f>
        <v>Intercultural Competence I: Understanding Culture</v>
      </c>
      <c r="C51" s="17" t="str">
        <f>IFERROR(__xludf.DUMMYFUNCTION("""COMPUTED_VALUE"""),"Wie beeinflusst dich Kultur in deinem täglichen Leben und Erleben? In diesem Kurs lernst du, was Kultur ist und worin sich Kulturen voneinander unterscheiden. Auf dich wartet ein spannendes Selbst-Experiment und eine kleine Zeitreise durchs antike Grieche"&amp;"nland...")</f>
        <v>Wie beeinflusst dich Kultur in deinem täglichen Leben und Erleben? In diesem Kurs lernst du, was Kultur ist und worin sich Kulturen voneinander unterscheiden. Auf dich wartet ein spannendes Selbst-Experiment und eine kleine Zeitreise durchs antike Griechenland...</v>
      </c>
      <c r="D51" s="17" t="str">
        <f>IFERROR(__xludf.DUMMYFUNCTION("""COMPUTED_VALUE"""),"How does culture shape your everyday experiences and perceptions? Dive into this course to explore the essence of culture and the nuances that distinguish one from another. Get ready for an exciting self-experiment and a journey back in time to ancient Gr"&amp;"eece...")</f>
        <v>How does culture shape your everyday experiences and perceptions? Dive into this course to explore the essence of culture and the nuances that distinguish one from another. Get ready for an exciting self-experiment and a journey back in time to ancient Greece...</v>
      </c>
      <c r="E51" s="9" t="str">
        <f>IFERROR(__xludf.DUMMYFUNCTION("""COMPUTED_VALUE"""),"Global Citizenship")</f>
        <v>Global Citizenship</v>
      </c>
      <c r="F51" s="19" t="str">
        <f>IFERROR(__xludf.DUMMYFUNCTION("""COMPUTED_VALUE"""),"Zeit Akademie - Ulrich Kühnen, Dr. Nadine Binder")</f>
        <v>Zeit Akademie - Ulrich Kühnen, Dr. Nadine Binder</v>
      </c>
      <c r="G51" s="20">
        <f>IFERROR(__xludf.DUMMYFUNCTION("""COMPUTED_VALUE"""),29.0)</f>
        <v>29</v>
      </c>
      <c r="H51" s="20">
        <f>IFERROR(__xludf.DUMMYFUNCTION("""COMPUTED_VALUE"""),19.0)</f>
        <v>19</v>
      </c>
      <c r="I51" s="21" t="str">
        <f>IFERROR(__xludf.DUMMYFUNCTION("""COMPUTED_VALUE"""),"English, German")</f>
        <v>English, German</v>
      </c>
      <c r="J51" s="21" t="str">
        <f>IFERROR(__xludf.DUMMYFUNCTION("""COMPUTED_VALUE"""),"German")</f>
        <v>German</v>
      </c>
      <c r="K51" s="22">
        <f>IFERROR(__xludf.DUMMYFUNCTION("""COMPUTED_VALUE"""),45419.0)</f>
        <v>45419</v>
      </c>
      <c r="L51" s="23" t="str">
        <f>IFERROR(__xludf.DUMMYFUNCTION("""COMPUTED_VALUE"""),"https://masterplan.com/courses/interkulturelle-kompetenz-i-kultur-verstehen")</f>
        <v>https://masterplan.com/courses/interkulturelle-kompetenz-i-kultur-verstehen</v>
      </c>
    </row>
    <row r="52">
      <c r="A52" s="6" t="str">
        <f>IFERROR(__xludf.DUMMYFUNCTION("""COMPUTED_VALUE"""),"Der Acquiescence Bias in Umfragen")</f>
        <v>Der Acquiescence Bias in Umfragen</v>
      </c>
      <c r="B52" s="7" t="str">
        <f>IFERROR(__xludf.DUMMYFUNCTION("""COMPUTED_VALUE"""),"The Acquiescence Bias in Surveys")</f>
        <v>The Acquiescence Bias in Surveys</v>
      </c>
      <c r="C52" s="8" t="str">
        <f>IFERROR(__xludf.DUMMYFUNCTION("""COMPUTED_VALUE"""),"Eine Art von Antwortverzerrung tritt in der Umfrageforschung auf, wenn Befragte einfach den Aussagen der Umfrage zustimmen. Das verfälscht Umfrageergebnisse und führt zu falschen Schlussfolgerungen. Die Tendenz zum ""Ja-Sagen"" lässt sich allerdings reduz"&amp;"ieren!")</f>
        <v>Eine Art von Antwortverzerrung tritt in der Umfrageforschung auf, wenn Befragte einfach den Aussagen der Umfrage zustimmen. Das verfälscht Umfrageergebnisse und führt zu falschen Schlussfolgerungen. Die Tendenz zum "Ja-Sagen" lässt sich allerdings reduzieren!</v>
      </c>
      <c r="D52" s="8" t="str">
        <f>IFERROR(__xludf.DUMMYFUNCTION("""COMPUTED_VALUE"""),"Response bias often skews survey research when participants habitually agree with statements presented to them. This can warp the results and lead to incorrect conclusions. However, strategies exist to minimize this 'yes bias' and enhance the accuracy of "&amp;"survey data!")</f>
        <v>Response bias often skews survey research when participants habitually agree with statements presented to them. This can warp the results and lead to incorrect conclusions. However, strategies exist to minimize this 'yes bias' and enhance the accuracy of survey data!</v>
      </c>
      <c r="E52" s="25" t="str">
        <f>IFERROR(__xludf.DUMMYFUNCTION("""COMPUTED_VALUE"""),"Digital Literacy")</f>
        <v>Digital Literacy</v>
      </c>
      <c r="F52" s="10" t="str">
        <f>IFERROR(__xludf.DUMMYFUNCTION("""COMPUTED_VALUE"""),"Masterplan - Nadine Wagenaar")</f>
        <v>Masterplan - Nadine Wagenaar</v>
      </c>
      <c r="G52" s="11">
        <f>IFERROR(__xludf.DUMMYFUNCTION("""COMPUTED_VALUE"""),3.0)</f>
        <v>3</v>
      </c>
      <c r="H52" s="11">
        <f>IFERROR(__xludf.DUMMYFUNCTION("""COMPUTED_VALUE"""),3.0)</f>
        <v>3</v>
      </c>
      <c r="I52" s="12" t="str">
        <f>IFERROR(__xludf.DUMMYFUNCTION("""COMPUTED_VALUE"""),"English, German")</f>
        <v>English, German</v>
      </c>
      <c r="J52" s="12" t="str">
        <f>IFERROR(__xludf.DUMMYFUNCTION("""COMPUTED_VALUE"""),"English, German")</f>
        <v>English, German</v>
      </c>
      <c r="K52" s="13">
        <f>IFERROR(__xludf.DUMMYFUNCTION("""COMPUTED_VALUE"""),45418.0)</f>
        <v>45418</v>
      </c>
      <c r="L52" s="14" t="str">
        <f>IFERROR(__xludf.DUMMYFUNCTION("""COMPUTED_VALUE"""),"https://masterplan.com/courses/mp-shorts-der-acquiescence-bias-in-umfragen")</f>
        <v>https://masterplan.com/courses/mp-shorts-der-acquiescence-bias-in-umfragen</v>
      </c>
    </row>
    <row r="53">
      <c r="A53" s="15" t="str">
        <f>IFERROR(__xludf.DUMMYFUNCTION("""COMPUTED_VALUE"""),"Innehalten &amp; Verstehen: Mit SLOW wirkungsvoll kommunizieren")</f>
        <v>Innehalten &amp; Verstehen: Mit SLOW wirkungsvoll kommunizieren</v>
      </c>
      <c r="B53" s="16" t="str">
        <f>IFERROR(__xludf.DUMMYFUNCTION("""COMPUTED_VALUE"""),"Pause &amp; Understand: Communicating Effectively with SLOW")</f>
        <v>Pause &amp; Understand: Communicating Effectively with SLOW</v>
      </c>
      <c r="C53" s="17" t="str">
        <f>IFERROR(__xludf.DUMMYFUNCTION("""COMPUTED_VALUE"""),"Wahrnehmung, aktives Zuhören, Offenheit und Reflexion – in diesem Masterplan Original zeigt dir Kommunikationstrainerin Bettina Hegmann, wie du mit Hilfe von SLOW für eine bewusste Verlangsamung in der Kommunikation sorgst und wirkungsvolle Gespräche führ"&amp;"st.")</f>
        <v>Wahrnehmung, aktives Zuhören, Offenheit und Reflexion – in diesem Masterplan Original zeigt dir Kommunikationstrainerin Bettina Hegmann, wie du mit Hilfe von SLOW für eine bewusste Verlangsamung in der Kommunikation sorgst und wirkungsvolle Gespräche führst.</v>
      </c>
      <c r="D53" s="17" t="str">
        <f>IFERROR(__xludf.DUMMYFUNCTION("""COMPUTED_VALUE"""),"Sense, Listen, Open, and Why — join communication coach Bettina Hegmann in this Masterplan Original as she reveals how to use SLOW to intentionally slow down your interactions and have more effective conversations.")</f>
        <v>Sense, Listen, Open, and Why — join communication coach Bettina Hegmann in this Masterplan Original as she reveals how to use SLOW to intentionally slow down your interactions and have more effective conversations.</v>
      </c>
      <c r="E53" s="28" t="str">
        <f>IFERROR(__xludf.DUMMYFUNCTION("""COMPUTED_VALUE"""),"Communication")</f>
        <v>Communication</v>
      </c>
      <c r="F53" s="19" t="str">
        <f>IFERROR(__xludf.DUMMYFUNCTION("""COMPUTED_VALUE"""),"Bettina Hegmann")</f>
        <v>Bettina Hegmann</v>
      </c>
      <c r="G53" s="20">
        <f>IFERROR(__xludf.DUMMYFUNCTION("""COMPUTED_VALUE"""),50.0)</f>
        <v>50</v>
      </c>
      <c r="H53" s="20">
        <f>IFERROR(__xludf.DUMMYFUNCTION("""COMPUTED_VALUE"""),29.0)</f>
        <v>29</v>
      </c>
      <c r="I53" s="21" t="str">
        <f>IFERROR(__xludf.DUMMYFUNCTION("""COMPUTED_VALUE"""),"English, German")</f>
        <v>English, German</v>
      </c>
      <c r="J53" s="21" t="str">
        <f>IFERROR(__xludf.DUMMYFUNCTION("""COMPUTED_VALUE"""),"English, German")</f>
        <v>English, German</v>
      </c>
      <c r="K53" s="22">
        <f>IFERROR(__xludf.DUMMYFUNCTION("""COMPUTED_VALUE"""),45415.0)</f>
        <v>45415</v>
      </c>
      <c r="L53" s="23" t="str">
        <f>IFERROR(__xludf.DUMMYFUNCTION("""COMPUTED_VALUE"""),"https://masterplan.com/courses/innehalten-verstehen-mit-slow-wirkungsvoll-kommunizieren")</f>
        <v>https://masterplan.com/courses/innehalten-verstehen-mit-slow-wirkungsvoll-kommunizieren</v>
      </c>
    </row>
    <row r="54">
      <c r="A54" s="6" t="str">
        <f>IFERROR(__xludf.DUMMYFUNCTION("""COMPUTED_VALUE"""),"Diversity &amp; Inclusion IV: Frauen in Führung und Vorstand")</f>
        <v>Diversity &amp; Inclusion IV: Frauen in Führung und Vorstand</v>
      </c>
      <c r="B54" s="7" t="str">
        <f>IFERROR(__xludf.DUMMYFUNCTION("""COMPUTED_VALUE"""),"Diversity &amp; Inclusion IV: Women in Leadership")</f>
        <v>Diversity &amp; Inclusion IV: Women in Leadership</v>
      </c>
      <c r="C54" s="8" t="str">
        <f>IFERROR(__xludf.DUMMYFUNCTION("""COMPUTED_VALUE"""),"Was wollen wir? Mehr Frauen in der Führung und am besten jetzt! Naja, wäre da nicht die gläserne Decke. In diesem Kurs erfährst du, wie Unternehmen mithilfe der Digitalisierung für mehr Gendergerechtigkeit sorgen können – bessere Aufstiegschancen für Frau"&amp;"en inklusive!")</f>
        <v>Was wollen wir? Mehr Frauen in der Führung und am besten jetzt! Naja, wäre da nicht die gläserne Decke. In diesem Kurs erfährst du, wie Unternehmen mithilfe der Digitalisierung für mehr Gendergerechtigkeit sorgen können – bessere Aufstiegschancen für Frauen inklusive!</v>
      </c>
      <c r="D54" s="8" t="str">
        <f>IFERROR(__xludf.DUMMYFUNCTION("""COMPUTED_VALUE"""),"What do we want? More women in leadership! In this course, Dr. Kira Marrs explains how companies can seize digitalization as an opportunity for more gender equality and better career opportunities for women.")</f>
        <v>What do we want? More women in leadership! In this course, Dr. Kira Marrs explains how companies can seize digitalization as an opportunity for more gender equality and better career opportunities for women.</v>
      </c>
      <c r="E54" s="9" t="str">
        <f>IFERROR(__xludf.DUMMYFUNCTION("""COMPUTED_VALUE"""),"Global Citizenship")</f>
        <v>Global Citizenship</v>
      </c>
      <c r="F54" s="10" t="str">
        <f>IFERROR(__xludf.DUMMYFUNCTION("""COMPUTED_VALUE"""),"Zeit Akademie - Kira Marrs")</f>
        <v>Zeit Akademie - Kira Marrs</v>
      </c>
      <c r="G54" s="11">
        <f>IFERROR(__xludf.DUMMYFUNCTION("""COMPUTED_VALUE"""),41.0)</f>
        <v>41</v>
      </c>
      <c r="H54" s="11">
        <f>IFERROR(__xludf.DUMMYFUNCTION("""COMPUTED_VALUE"""),28.0)</f>
        <v>28</v>
      </c>
      <c r="I54" s="12" t="str">
        <f>IFERROR(__xludf.DUMMYFUNCTION("""COMPUTED_VALUE"""),"English, German")</f>
        <v>English, German</v>
      </c>
      <c r="J54" s="12" t="str">
        <f>IFERROR(__xludf.DUMMYFUNCTION("""COMPUTED_VALUE"""),"English, German")</f>
        <v>English, German</v>
      </c>
      <c r="K54" s="13">
        <f>IFERROR(__xludf.DUMMYFUNCTION("""COMPUTED_VALUE"""),45411.0)</f>
        <v>45411</v>
      </c>
      <c r="L54" s="14" t="str">
        <f>IFERROR(__xludf.DUMMYFUNCTION("""COMPUTED_VALUE"""),"https://masterplan.com/courses/diversity-inclusion-iv-frauen-in-fuhrung-und-vorstand")</f>
        <v>https://masterplan.com/courses/diversity-inclusion-iv-frauen-in-fuhrung-und-vorstand</v>
      </c>
    </row>
    <row r="55">
      <c r="A55" s="15" t="str">
        <f>IFERROR(__xludf.DUMMYFUNCTION("""COMPUTED_VALUE"""),"Die sokratische Methode: Zielgerichtet kritisch nachgedacht")</f>
        <v>Die sokratische Methode: Zielgerichtet kritisch nachgedacht</v>
      </c>
      <c r="B55" s="16" t="str">
        <f>IFERROR(__xludf.DUMMYFUNCTION("""COMPUTED_VALUE"""),"This Tool Will Help You to Improve Your Critical Thinking")</f>
        <v>This Tool Will Help You to Improve Your Critical Thinking</v>
      </c>
      <c r="C55" s="17" t="str">
        <f>IFERROR(__xludf.DUMMYFUNCTION("""COMPUTED_VALUE"""),"""Ich weiß, dass ich nichts weiß"" - eines der berühmtesten Zitate Sokrates. Gleichzeitig umschreibt es perfekt die Grundlage der ""Sokratischen Methode"". Wie du diese umsetzt und wie sie dir hilft, dein kritisches Denken zu verbessern, erfährst du in di"&amp;"esem TED-Ed Video.")</f>
        <v>"Ich weiß, dass ich nichts weiß" - eines der berühmtesten Zitate Sokrates. Gleichzeitig umschreibt es perfekt die Grundlage der "Sokratischen Methode". Wie du diese umsetzt und wie sie dir hilft, dein kritisches Denken zu verbessern, erfährst du in diesem TED-Ed Video.</v>
      </c>
      <c r="D55" s="17" t="str">
        <f>IFERROR(__xludf.DUMMYFUNCTION("""COMPUTED_VALUE"""),"""I know that I know nothing"" - one of Socrates' most famous quotes. It also perfectly describes the basis of the ""Socratic Method"". Watch this TED-Ed video to learn how to apply it and improve your critical thinking skills.")</f>
        <v>"I know that I know nothing" - one of Socrates' most famous quotes. It also perfectly describes the basis of the "Socratic Method". Watch this TED-Ed video to learn how to apply it and improve your critical thinking skills.</v>
      </c>
      <c r="E55" s="29" t="str">
        <f>IFERROR(__xludf.DUMMYFUNCTION("""COMPUTED_VALUE"""),"Thinking and Deciding Clearly")</f>
        <v>Thinking and Deciding Clearly</v>
      </c>
      <c r="F55" s="19" t="str">
        <f>IFERROR(__xludf.DUMMYFUNCTION("""COMPUTED_VALUE"""),"TED - ")</f>
        <v>TED - </v>
      </c>
      <c r="G55" s="20">
        <f>IFERROR(__xludf.DUMMYFUNCTION("""COMPUTED_VALUE"""),5.0)</f>
        <v>5</v>
      </c>
      <c r="H55" s="20">
        <f>IFERROR(__xludf.DUMMYFUNCTION("""COMPUTED_VALUE"""),3.0)</f>
        <v>3</v>
      </c>
      <c r="I55" s="21" t="str">
        <f>IFERROR(__xludf.DUMMYFUNCTION("""COMPUTED_VALUE"""),"English, German")</f>
        <v>English, German</v>
      </c>
      <c r="J55" s="21" t="str">
        <f>IFERROR(__xludf.DUMMYFUNCTION("""COMPUTED_VALUE"""),"English")</f>
        <v>English</v>
      </c>
      <c r="K55" s="22">
        <f>IFERROR(__xludf.DUMMYFUNCTION("""COMPUTED_VALUE"""),45407.0)</f>
        <v>45407</v>
      </c>
      <c r="L55" s="23" t="str">
        <f>IFERROR(__xludf.DUMMYFUNCTION("""COMPUTED_VALUE"""),"https://masterplan.com/courses/die-sokratische-methode-zielgerichtet-kritisch-nachgedacht")</f>
        <v>https://masterplan.com/courses/die-sokratische-methode-zielgerichtet-kritisch-nachgedacht</v>
      </c>
    </row>
    <row r="56">
      <c r="A56" s="6" t="str">
        <f>IFERROR(__xludf.DUMMYFUNCTION("""COMPUTED_VALUE"""),"Data Products: Daten optimal nutzen")</f>
        <v>Data Products: Daten optimal nutzen</v>
      </c>
      <c r="B56" s="7" t="str">
        <f>IFERROR(__xludf.DUMMYFUNCTION("""COMPUTED_VALUE"""),"Data Products: Making the Best Use of Data")</f>
        <v>Data Products: Making the Best Use of Data</v>
      </c>
      <c r="C56" s="8" t="str">
        <f>IFERROR(__xludf.DUMMYFUNCTION("""COMPUTED_VALUE"""),"Fast jedes Unternehmen weiß, dass Daten das neue Gold sind. Aber wie können sie das volle Potenzial aus diesen schöpfen? Ganz einfach: Indem sie Daten wie ein Produkt behandeln. Dieser Harvard-Artikel verrät dir, was sich hinter diesem Konzept verbirgt!")</f>
        <v>Fast jedes Unternehmen weiß, dass Daten das neue Gold sind. Aber wie können sie das volle Potenzial aus diesen schöpfen? Ganz einfach: Indem sie Daten wie ein Produkt behandeln. Dieser Harvard-Artikel verrät dir, was sich hinter diesem Konzept verbirgt!</v>
      </c>
      <c r="D56" s="8" t="str">
        <f>IFERROR(__xludf.DUMMYFUNCTION("""COMPUTED_VALUE"""),"Nearly every company understands that data is the new gold. But how can they unlock this treasure? It's simple: by treating data like a product. Discover the secrets behind this concept in this insightful Harvard article!")</f>
        <v>Nearly every company understands that data is the new gold. But how can they unlock this treasure? It's simple: by treating data like a product. Discover the secrets behind this concept in this insightful Harvard article!</v>
      </c>
      <c r="E56" s="25" t="str">
        <f>IFERROR(__xludf.DUMMYFUNCTION("""COMPUTED_VALUE"""),"Digital Literacy")</f>
        <v>Digital Literacy</v>
      </c>
      <c r="F56" s="10" t="str">
        <f>IFERROR(__xludf.DUMMYFUNCTION("""COMPUTED_VALUE"""),"Harvard Business Publishing - ")</f>
        <v>Harvard Business Publishing - </v>
      </c>
      <c r="G56" s="11">
        <f>IFERROR(__xludf.DUMMYFUNCTION("""COMPUTED_VALUE"""),23.0)</f>
        <v>23</v>
      </c>
      <c r="H56" s="11">
        <f>IFERROR(__xludf.DUMMYFUNCTION("""COMPUTED_VALUE"""),11.0)</f>
        <v>11</v>
      </c>
      <c r="I56" s="12" t="str">
        <f>IFERROR(__xludf.DUMMYFUNCTION("""COMPUTED_VALUE"""),"English, German")</f>
        <v>English, German</v>
      </c>
      <c r="J56" s="12" t="str">
        <f>IFERROR(__xludf.DUMMYFUNCTION("""COMPUTED_VALUE"""),"Text only")</f>
        <v>Text only</v>
      </c>
      <c r="K56" s="13">
        <f>IFERROR(__xludf.DUMMYFUNCTION("""COMPUTED_VALUE"""),45406.0)</f>
        <v>45406</v>
      </c>
      <c r="L56" s="14" t="str">
        <f>IFERROR(__xludf.DUMMYFUNCTION("""COMPUTED_VALUE"""),"https://masterplan.com/courses/data-products-daten-optimal-nutzen")</f>
        <v>https://masterplan.com/courses/data-products-daten-optimal-nutzen</v>
      </c>
    </row>
    <row r="57">
      <c r="A57" s="15" t="str">
        <f>IFERROR(__xludf.DUMMYFUNCTION("""COMPUTED_VALUE"""),"Diversity &amp; Inclusion III: Bewusste Kommunikation im Team")</f>
        <v>Diversity &amp; Inclusion III: Bewusste Kommunikation im Team</v>
      </c>
      <c r="B57" s="16" t="str">
        <f>IFERROR(__xludf.DUMMYFUNCTION("""COMPUTED_VALUE"""),"Diversity &amp; Inclusion III: Conscious Communication in Teams")</f>
        <v>Diversity &amp; Inclusion III: Conscious Communication in Teams</v>
      </c>
      <c r="C57" s="17" t="str">
        <f>IFERROR(__xludf.DUMMYFUNCTION("""COMPUTED_VALUE"""),"Kommunikation ist der Kern jeder Beziehung. Dabei geht es nicht allein um den Inhalt! In diesem Kurs zeigt dir Prof. Dr. Brooke Gazdag, wie du deinen Kommunikationsstil weiterentwickelst, inklusiver gestaltest und dabei deine Wertschätzung für Diversität "&amp;"im Team zeigst.")</f>
        <v>Kommunikation ist der Kern jeder Beziehung. Dabei geht es nicht allein um den Inhalt! In diesem Kurs zeigt dir Prof. Dr. Brooke Gazdag, wie du deinen Kommunikationsstil weiterentwickelst, inklusiver gestaltest und dabei deine Wertschätzung für Diversität im Team zeigst.</v>
      </c>
      <c r="D57" s="17" t="str">
        <f>IFERROR(__xludf.DUMMYFUNCTION("""COMPUTED_VALUE"""),"Communication lies at the core of every relationship. And it's not just about the contents! In this course, Dr. Brooke Gazdag will show you how to make your communication style more inclusive while signaling your appreciation for diversity in your team.")</f>
        <v>Communication lies at the core of every relationship. And it's not just about the contents! In this course, Dr. Brooke Gazdag will show you how to make your communication style more inclusive while signaling your appreciation for diversity in your team.</v>
      </c>
      <c r="E57" s="9" t="str">
        <f>IFERROR(__xludf.DUMMYFUNCTION("""COMPUTED_VALUE"""),"Global Citizenship")</f>
        <v>Global Citizenship</v>
      </c>
      <c r="F57" s="19" t="str">
        <f>IFERROR(__xludf.DUMMYFUNCTION("""COMPUTED_VALUE"""),"Zeit Akademie - Brooke Gazdag")</f>
        <v>Zeit Akademie - Brooke Gazdag</v>
      </c>
      <c r="G57" s="20">
        <f>IFERROR(__xludf.DUMMYFUNCTION("""COMPUTED_VALUE"""),41.0)</f>
        <v>41</v>
      </c>
      <c r="H57" s="20">
        <f>IFERROR(__xludf.DUMMYFUNCTION("""COMPUTED_VALUE"""),23.0)</f>
        <v>23</v>
      </c>
      <c r="I57" s="21" t="str">
        <f>IFERROR(__xludf.DUMMYFUNCTION("""COMPUTED_VALUE"""),"English, German")</f>
        <v>English, German</v>
      </c>
      <c r="J57" s="21" t="str">
        <f>IFERROR(__xludf.DUMMYFUNCTION("""COMPUTED_VALUE"""),"German")</f>
        <v>German</v>
      </c>
      <c r="K57" s="22">
        <f>IFERROR(__xludf.DUMMYFUNCTION("""COMPUTED_VALUE"""),45401.0)</f>
        <v>45401</v>
      </c>
      <c r="L57" s="23" t="str">
        <f>IFERROR(__xludf.DUMMYFUNCTION("""COMPUTED_VALUE"""),"https://masterplan.com/courses/diversity-inclusion-iii-bewusste-kommunikation-im-team")</f>
        <v>https://masterplan.com/courses/diversity-inclusion-iii-bewusste-kommunikation-im-team</v>
      </c>
    </row>
    <row r="58">
      <c r="A58" s="6" t="str">
        <f>IFERROR(__xludf.DUMMYFUNCTION("""COMPUTED_VALUE"""),"Ein Blick über den Tellerrand: Das Geheimnis neuer Ideen")</f>
        <v>Ein Blick über den Tellerrand: Das Geheimnis neuer Ideen</v>
      </c>
      <c r="B58" s="7" t="str">
        <f>IFERROR(__xludf.DUMMYFUNCTION("""COMPUTED_VALUE"""),"Need a new idea? Start at the edge of what is known")</f>
        <v>Need a new idea? Start at the edge of what is known</v>
      </c>
      <c r="C58" s="8" t="str">
        <f>IFERROR(__xludf.DUMMYFUNCTION("""COMPUTED_VALUE"""),"Wie entstehen innovative Ideen? Dieser Frage geht Vittorio Loreto auf den Grund! Mithilfe der Mathematik entdeckte er ein Schema, das hinter (fast) jeder Idee steckt. In seinem TED-Talk präsentiert er, wie uns dieses Wissen helfen kann, neuartige Ideen zu"&amp;" entwickeln.")</f>
        <v>Wie entstehen innovative Ideen? Dieser Frage geht Vittorio Loreto auf den Grund! Mithilfe der Mathematik entdeckte er ein Schema, das hinter (fast) jeder Idee steckt. In seinem TED-Talk präsentiert er, wie uns dieses Wissen helfen kann, neuartige Ideen zu entwickeln.</v>
      </c>
      <c r="D58" s="8" t="str">
        <f>IFERROR(__xludf.DUMMYFUNCTION("""COMPUTED_VALUE"""),"How do innovative ideas come about? Vittorio Loreto delves into this question! Using mathematics, he has discovered a pattern behind (almost) every one of our ideas. In his TED Talk, he shows how this knowledge can help us develop breakthrough ideas.")</f>
        <v>How do innovative ideas come about? Vittorio Loreto delves into this question! Using mathematics, he has discovered a pattern behind (almost) every one of our ideas. In his TED Talk, he shows how this knowledge can help us develop breakthrough ideas.</v>
      </c>
      <c r="E58" s="18" t="str">
        <f>IFERROR(__xludf.DUMMYFUNCTION("""COMPUTED_VALUE"""),"Creativity and Innovation")</f>
        <v>Creativity and Innovation</v>
      </c>
      <c r="F58" s="10" t="str">
        <f>IFERROR(__xludf.DUMMYFUNCTION("""COMPUTED_VALUE"""),"TED - ")</f>
        <v>TED - </v>
      </c>
      <c r="G58" s="11">
        <f>IFERROR(__xludf.DUMMYFUNCTION("""COMPUTED_VALUE"""),16.0)</f>
        <v>16</v>
      </c>
      <c r="H58" s="11">
        <f>IFERROR(__xludf.DUMMYFUNCTION("""COMPUTED_VALUE"""),3.0)</f>
        <v>3</v>
      </c>
      <c r="I58" s="12" t="str">
        <f>IFERROR(__xludf.DUMMYFUNCTION("""COMPUTED_VALUE"""),"English, German")</f>
        <v>English, German</v>
      </c>
      <c r="J58" s="12" t="str">
        <f>IFERROR(__xludf.DUMMYFUNCTION("""COMPUTED_VALUE"""),"English")</f>
        <v>English</v>
      </c>
      <c r="K58" s="13">
        <f>IFERROR(__xludf.DUMMYFUNCTION("""COMPUTED_VALUE"""),45400.0)</f>
        <v>45400</v>
      </c>
      <c r="L58" s="14" t="str">
        <f>IFERROR(__xludf.DUMMYFUNCTION("""COMPUTED_VALUE"""),"https://masterplan.com/courses/ein-blick-uber-den-tellerrand-das-geheimnis-neuer-ideen")</f>
        <v>https://masterplan.com/courses/ein-blick-uber-den-tellerrand-das-geheimnis-neuer-ideen</v>
      </c>
    </row>
    <row r="59">
      <c r="A59" s="15" t="str">
        <f>IFERROR(__xludf.DUMMYFUNCTION("""COMPUTED_VALUE"""),"Von Potential zu Performance: Mitarbeitende fördern &amp; führen")</f>
        <v>Von Potential zu Performance: Mitarbeitende fördern &amp; führen</v>
      </c>
      <c r="B59" s="16" t="str">
        <f>IFERROR(__xludf.DUMMYFUNCTION("""COMPUTED_VALUE"""),"Unlocking Your Team's Hidden Potential")</f>
        <v>Unlocking Your Team's Hidden Potential</v>
      </c>
      <c r="C59" s="17" t="str">
        <f>IFERROR(__xludf.DUMMYFUNCTION("""COMPUTED_VALUE"""),"Bist du bereit, das volle Potenzial deines Teams freizusetzen? Organisationspsychologe Adam Grant zeigt dir, wie du verborgene Talente erkennen und fördern kannst. Lerne effektive Führungsstrategien kennen, die deine Teammitglieder zu neuen Höchstleistung"&amp;"en befähigen.")</f>
        <v>Bist du bereit, das volle Potenzial deines Teams freizusetzen? Organisationspsychologe Adam Grant zeigt dir, wie du verborgene Talente erkennen und fördern kannst. Lerne effektive Führungsstrategien kennen, die deine Teammitglieder zu neuen Höchstleistungen befähigen.</v>
      </c>
      <c r="D59" s="17" t="str">
        <f>IFERROR(__xludf.DUMMYFUNCTION("""COMPUTED_VALUE"""),"Are you ready to unlock the full potential of your team? Learn from organizational psychologist Adam Grant how to identify and nurture untapped talent. Gain insights into effective leadership strategies that empower your team members to reach new heights.")</f>
        <v>Are you ready to unlock the full potential of your team? Learn from organizational psychologist Adam Grant how to identify and nurture untapped talent. Gain insights into effective leadership strategies that empower your team members to reach new heights.</v>
      </c>
      <c r="E59" s="26" t="str">
        <f>IFERROR(__xludf.DUMMYFUNCTION("""COMPUTED_VALUE"""),"Collaboration and Leadership")</f>
        <v>Collaboration and Leadership</v>
      </c>
      <c r="F59" s="19" t="str">
        <f>IFERROR(__xludf.DUMMYFUNCTION("""COMPUTED_VALUE"""),"Big Think - Adam Grant")</f>
        <v>Big Think - Adam Grant</v>
      </c>
      <c r="G59" s="20">
        <f>IFERROR(__xludf.DUMMYFUNCTION("""COMPUTED_VALUE"""),69.0)</f>
        <v>69</v>
      </c>
      <c r="H59" s="20">
        <f>IFERROR(__xludf.DUMMYFUNCTION("""COMPUTED_VALUE"""),34.0)</f>
        <v>34</v>
      </c>
      <c r="I59" s="21" t="str">
        <f>IFERROR(__xludf.DUMMYFUNCTION("""COMPUTED_VALUE"""),"English, German")</f>
        <v>English, German</v>
      </c>
      <c r="J59" s="21" t="str">
        <f>IFERROR(__xludf.DUMMYFUNCTION("""COMPUTED_VALUE"""),"English")</f>
        <v>English</v>
      </c>
      <c r="K59" s="22">
        <f>IFERROR(__xludf.DUMMYFUNCTION("""COMPUTED_VALUE"""),45399.0)</f>
        <v>45399</v>
      </c>
      <c r="L59" s="23" t="str">
        <f>IFERROR(__xludf.DUMMYFUNCTION("""COMPUTED_VALUE"""),"https://masterplan.com/courses/von-potential-zu-performance-mitarbeitende-fordern-fuhren")</f>
        <v>https://masterplan.com/courses/von-potential-zu-performance-mitarbeitende-fordern-fuhren</v>
      </c>
    </row>
    <row r="60">
      <c r="A60" s="6" t="str">
        <f>IFERROR(__xludf.DUMMYFUNCTION("""COMPUTED_VALUE"""),"Die LEAF-Methode")</f>
        <v>Die LEAF-Methode</v>
      </c>
      <c r="B60" s="7" t="str">
        <f>IFERROR(__xludf.DUMMYFUNCTION("""COMPUTED_VALUE"""),"The LEAF Method")</f>
        <v>The LEAF Method</v>
      </c>
      <c r="C60" s="8" t="str">
        <f>IFERROR(__xludf.DUMMYFUNCTION("""COMPUTED_VALUE"""),"Unstimmigkeiten und Konflikte – das Arbeiten im Team hat seine Schattenseiten! Abhilfe bietet die Konfliktlösung nach der LEAF-Methode. Welchen Ansatz die Methode verfolgt und wie du LEAF erfolgreich in deinem Team etablierst, erfährst du in diesem Short!")</f>
        <v>Unstimmigkeiten und Konflikte – das Arbeiten im Team hat seine Schattenseiten! Abhilfe bietet die Konfliktlösung nach der LEAF-Methode. Welchen Ansatz die Methode verfolgt und wie du LEAF erfolgreich in deinem Team etablierst, erfährst du in diesem Short!</v>
      </c>
      <c r="D60" s="8" t="str">
        <f>IFERROR(__xludf.DUMMYFUNCTION("""COMPUTED_VALUE"""),"Disagreements and conflicts – teamwork does have its drawbacks! The LEAF method can be of help here. In this short guide you will find out how the LEAF method works and how you can successfully implement it in your team!")</f>
        <v>Disagreements and conflicts – teamwork does have its drawbacks! The LEAF method can be of help here. In this short guide you will find out how the LEAF method works and how you can successfully implement it in your team!</v>
      </c>
      <c r="E60" s="28" t="str">
        <f>IFERROR(__xludf.DUMMYFUNCTION("""COMPUTED_VALUE"""),"Communication")</f>
        <v>Communication</v>
      </c>
      <c r="F60" s="10" t="str">
        <f>IFERROR(__xludf.DUMMYFUNCTION("""COMPUTED_VALUE"""),"Masterplan - Nadine Wagenaar")</f>
        <v>Masterplan - Nadine Wagenaar</v>
      </c>
      <c r="G60" s="11">
        <f>IFERROR(__xludf.DUMMYFUNCTION("""COMPUTED_VALUE"""),3.0)</f>
        <v>3</v>
      </c>
      <c r="H60" s="11">
        <f>IFERROR(__xludf.DUMMYFUNCTION("""COMPUTED_VALUE"""),3.0)</f>
        <v>3</v>
      </c>
      <c r="I60" s="12" t="str">
        <f>IFERROR(__xludf.DUMMYFUNCTION("""COMPUTED_VALUE"""),"English, German")</f>
        <v>English, German</v>
      </c>
      <c r="J60" s="12" t="str">
        <f>IFERROR(__xludf.DUMMYFUNCTION("""COMPUTED_VALUE"""),"English, German")</f>
        <v>English, German</v>
      </c>
      <c r="K60" s="13">
        <f>IFERROR(__xludf.DUMMYFUNCTION("""COMPUTED_VALUE"""),45399.0)</f>
        <v>45399</v>
      </c>
      <c r="L60" s="14" t="str">
        <f>IFERROR(__xludf.DUMMYFUNCTION("""COMPUTED_VALUE"""),"https://masterplan.com/courses/mp-shorts-die-leaf-methode")</f>
        <v>https://masterplan.com/courses/mp-shorts-die-leaf-methode</v>
      </c>
    </row>
    <row r="61">
      <c r="A61" s="15" t="str">
        <f>IFERROR(__xludf.DUMMYFUNCTION("""COMPUTED_VALUE"""),"Kritisch denken, intelligent entscheiden: Fünf praktische Tipps")</f>
        <v>Kritisch denken, intelligent entscheiden: Fünf praktische Tipps</v>
      </c>
      <c r="B61" s="16" t="str">
        <f>IFERROR(__xludf.DUMMYFUNCTION("""COMPUTED_VALUE"""),"5 Tips to Improve Your Critical Thinking")</f>
        <v>5 Tips to Improve Your Critical Thinking</v>
      </c>
      <c r="C61" s="17" t="str">
        <f>IFERROR(__xludf.DUMMYFUNCTION("""COMPUTED_VALUE"""),"Na, wie triffst du Entscheidungen? Machst du sie von Daten, Zahlen und Fakten abhängig oder hörst du lieber auf dein Bauchgefühl? Auch wenn letzteres hilfreich sein kann, sollten manche Entscheidungen kritisch durchdacht werden - und diese 5 Tipps helfen "&amp;"dir!")</f>
        <v>Na, wie triffst du Entscheidungen? Machst du sie von Daten, Zahlen und Fakten abhängig oder hörst du lieber auf dein Bauchgefühl? Auch wenn letzteres hilfreich sein kann, sollten manche Entscheidungen kritisch durchdacht werden - und diese 5 Tipps helfen dir!</v>
      </c>
      <c r="D61" s="17" t="str">
        <f>IFERROR(__xludf.DUMMYFUNCTION("""COMPUTED_VALUE"""),"How do you make decisions? Do you rely on data, numbers, and facts, or do you go with your gut? While the latter can be helpful, some decisions should be carefully considered - and these 5 tips will help you!")</f>
        <v>How do you make decisions? Do you rely on data, numbers, and facts, or do you go with your gut? While the latter can be helpful, some decisions should be carefully considered - and these 5 tips will help you!</v>
      </c>
      <c r="E61" s="29" t="str">
        <f>IFERROR(__xludf.DUMMYFUNCTION("""COMPUTED_VALUE"""),"Thinking and Deciding Clearly")</f>
        <v>Thinking and Deciding Clearly</v>
      </c>
      <c r="F61" s="19" t="str">
        <f>IFERROR(__xludf.DUMMYFUNCTION("""COMPUTED_VALUE"""),"TED - ")</f>
        <v>TED - </v>
      </c>
      <c r="G61" s="20">
        <f>IFERROR(__xludf.DUMMYFUNCTION("""COMPUTED_VALUE"""),5.0)</f>
        <v>5</v>
      </c>
      <c r="H61" s="20">
        <f>IFERROR(__xludf.DUMMYFUNCTION("""COMPUTED_VALUE"""),3.0)</f>
        <v>3</v>
      </c>
      <c r="I61" s="21" t="str">
        <f>IFERROR(__xludf.DUMMYFUNCTION("""COMPUTED_VALUE"""),"English, German")</f>
        <v>English, German</v>
      </c>
      <c r="J61" s="21" t="str">
        <f>IFERROR(__xludf.DUMMYFUNCTION("""COMPUTED_VALUE"""),"English")</f>
        <v>English</v>
      </c>
      <c r="K61" s="22">
        <f>IFERROR(__xludf.DUMMYFUNCTION("""COMPUTED_VALUE"""),45394.0)</f>
        <v>45394</v>
      </c>
      <c r="L61" s="23" t="str">
        <f>IFERROR(__xludf.DUMMYFUNCTION("""COMPUTED_VALUE"""),"https://masterplan.com/courses/kritisch-denken-intelligent-entscheiden-funf-praktische-tipps")</f>
        <v>https://masterplan.com/courses/kritisch-denken-intelligent-entscheiden-funf-praktische-tipps</v>
      </c>
    </row>
    <row r="62">
      <c r="A62" s="6" t="str">
        <f>IFERROR(__xludf.DUMMYFUNCTION("""COMPUTED_VALUE"""),"Die SPADE-Methode")</f>
        <v>Die SPADE-Methode</v>
      </c>
      <c r="B62" s="7" t="str">
        <f>IFERROR(__xludf.DUMMYFUNCTION("""COMPUTED_VALUE"""),"The SPADE-Method")</f>
        <v>The SPADE-Method</v>
      </c>
      <c r="C62" s="8" t="str">
        <f>IFERROR(__xludf.DUMMYFUNCTION("""COMPUTED_VALUE"""),"Dein Team hat nach langer Diskussion eine Entscheidung im Konsens getroffen, aber am Ende ist niemand wirklich glücklich - kommt dir das bekannt vor? Dann erfahre, wie dein Team in nur fünf Schritten zu Entscheidungen gelangt, mit der alle zufrieden sind!")</f>
        <v>Dein Team hat nach langer Diskussion eine Entscheidung im Konsens getroffen, aber am Ende ist niemand wirklich glücklich - kommt dir das bekannt vor? Dann erfahre, wie dein Team in nur fünf Schritten zu Entscheidungen gelangt, mit der alle zufrieden sind!</v>
      </c>
      <c r="D62" s="8" t="str">
        <f>IFERROR(__xludf.DUMMYFUNCTION("""COMPUTED_VALUE"""),"After a long discussion, your team has finally reached consensus, but in the end, no one is really happy - sound familiar? Then discover how your team can make decisions that everyone is satisfied with in just five steps!")</f>
        <v>After a long discussion, your team has finally reached consensus, but in the end, no one is really happy - sound familiar? Then discover how your team can make decisions that everyone is satisfied with in just five steps!</v>
      </c>
      <c r="E62" s="26" t="str">
        <f>IFERROR(__xludf.DUMMYFUNCTION("""COMPUTED_VALUE"""),"Collaboration and Leadership")</f>
        <v>Collaboration and Leadership</v>
      </c>
      <c r="F62" s="10" t="str">
        <f>IFERROR(__xludf.DUMMYFUNCTION("""COMPUTED_VALUE"""),"Masterplan - Sabine Pickett")</f>
        <v>Masterplan - Sabine Pickett</v>
      </c>
      <c r="G62" s="11">
        <f>IFERROR(__xludf.DUMMYFUNCTION("""COMPUTED_VALUE"""),3.0)</f>
        <v>3</v>
      </c>
      <c r="H62" s="11">
        <f>IFERROR(__xludf.DUMMYFUNCTION("""COMPUTED_VALUE"""),3.0)</f>
        <v>3</v>
      </c>
      <c r="I62" s="12" t="str">
        <f>IFERROR(__xludf.DUMMYFUNCTION("""COMPUTED_VALUE"""),"English, German")</f>
        <v>English, German</v>
      </c>
      <c r="J62" s="12" t="str">
        <f>IFERROR(__xludf.DUMMYFUNCTION("""COMPUTED_VALUE"""),"English, German")</f>
        <v>English, German</v>
      </c>
      <c r="K62" s="13">
        <f>IFERROR(__xludf.DUMMYFUNCTION("""COMPUTED_VALUE"""),45386.0)</f>
        <v>45386</v>
      </c>
      <c r="L62" s="14" t="str">
        <f>IFERROR(__xludf.DUMMYFUNCTION("""COMPUTED_VALUE"""),"https://masterplan.com/courses/mp-shorts-die-spade-methode")</f>
        <v>https://masterplan.com/courses/mp-shorts-die-spade-methode</v>
      </c>
    </row>
    <row r="63">
      <c r="A63" s="15" t="str">
        <f>IFERROR(__xludf.DUMMYFUNCTION("""COMPUTED_VALUE"""),"Diversity &amp; Inclusion I: Die Bedeutung des Diversity Managements")</f>
        <v>Diversity &amp; Inclusion I: Die Bedeutung des Diversity Managements</v>
      </c>
      <c r="B63" s="16" t="str">
        <f>IFERROR(__xludf.DUMMYFUNCTION("""COMPUTED_VALUE"""),"Diversity &amp; Inclusion I: The Importance of Diversity Management")</f>
        <v>Diversity &amp; Inclusion I: The Importance of Diversity Management</v>
      </c>
      <c r="C63" s="17" t="str">
        <f>IFERROR(__xludf.DUMMYFUNCTION("""COMPUTED_VALUE"""),"Diversity ist mehr als ein Buzzword. Um global mithalten zu können, müssen Organisationen die Kraft der Vielfalt erkennen und nutzen. In diesem Kurs gibt Prof. Dr. Andrea D. Bührmann einen Einblick in das Diversity-Management und seine Bedeutung.")</f>
        <v>Diversity ist mehr als ein Buzzword. Um global mithalten zu können, müssen Organisationen die Kraft der Vielfalt erkennen und nutzen. In diesem Kurs gibt Prof. Dr. Andrea D. Bührmann einen Einblick in das Diversity-Management und seine Bedeutung.</v>
      </c>
      <c r="D63" s="17" t="str">
        <f>IFERROR(__xludf.DUMMYFUNCTION("""COMPUTED_VALUE"""),"Diversity is no longer a buzzword that companies can use as a facade. Organisations need to keep up with global competitors and fully embrace the power of diversity. In this course, Prof. Dr. Andrea D. Bührmann introduces you to Diversity Management and i"&amp;"ts importance.")</f>
        <v>Diversity is no longer a buzzword that companies can use as a facade. Organisations need to keep up with global competitors and fully embrace the power of diversity. In this course, Prof. Dr. Andrea D. Bührmann introduces you to Diversity Management and its importance.</v>
      </c>
      <c r="E63" s="9" t="str">
        <f>IFERROR(__xludf.DUMMYFUNCTION("""COMPUTED_VALUE"""),"Global Citizenship")</f>
        <v>Global Citizenship</v>
      </c>
      <c r="F63" s="19" t="str">
        <f>IFERROR(__xludf.DUMMYFUNCTION("""COMPUTED_VALUE"""),"Zeit Akademie - Andrea Bührmann")</f>
        <v>Zeit Akademie - Andrea Bührmann</v>
      </c>
      <c r="G63" s="20">
        <f>IFERROR(__xludf.DUMMYFUNCTION("""COMPUTED_VALUE"""),33.0)</f>
        <v>33</v>
      </c>
      <c r="H63" s="20">
        <f>IFERROR(__xludf.DUMMYFUNCTION("""COMPUTED_VALUE"""),22.0)</f>
        <v>22</v>
      </c>
      <c r="I63" s="21" t="str">
        <f>IFERROR(__xludf.DUMMYFUNCTION("""COMPUTED_VALUE"""),"English, German")</f>
        <v>English, German</v>
      </c>
      <c r="J63" s="21" t="str">
        <f>IFERROR(__xludf.DUMMYFUNCTION("""COMPUTED_VALUE"""),"German")</f>
        <v>German</v>
      </c>
      <c r="K63" s="22">
        <f>IFERROR(__xludf.DUMMYFUNCTION("""COMPUTED_VALUE"""),45385.0)</f>
        <v>45385</v>
      </c>
      <c r="L63" s="23" t="str">
        <f>IFERROR(__xludf.DUMMYFUNCTION("""COMPUTED_VALUE"""),"https://masterplan.com/courses/diversity-inclusion-i-die-bedeutung-des-diversity-managements")</f>
        <v>https://masterplan.com/courses/diversity-inclusion-i-die-bedeutung-des-diversity-managements</v>
      </c>
    </row>
    <row r="64">
      <c r="A64" s="6" t="str">
        <f>IFERROR(__xludf.DUMMYFUNCTION("""COMPUTED_VALUE"""),"Diversity &amp; Inclusion II: Die Kraft kultureller Vielfalt")</f>
        <v>Diversity &amp; Inclusion II: Die Kraft kultureller Vielfalt</v>
      </c>
      <c r="B64" s="7" t="str">
        <f>IFERROR(__xludf.DUMMYFUNCTION("""COMPUTED_VALUE"""),"Diversity &amp; Inclusion II: Advantages of Cultural Diversity")</f>
        <v>Diversity &amp; Inclusion II: Advantages of Cultural Diversity</v>
      </c>
      <c r="C64" s="8" t="str">
        <f>IFERROR(__xludf.DUMMYFUNCTION("""COMPUTED_VALUE"""),"Deutschland ist ein Einwanderungsland. Was bedeutet das für den Arbeitsmarkt? In diesem Kurs erklärt Prof. Dr. Aladin El-Mafaalani, was ""Migrationshintergrund"" eigentlich bedeutet und welche Stärken und Herausforderungen kulturelle Vielfalt für Unterneh"&amp;"men bringen kann.")</f>
        <v>Deutschland ist ein Einwanderungsland. Was bedeutet das für den Arbeitsmarkt? In diesem Kurs erklärt Prof. Dr. Aladin El-Mafaalani, was "Migrationshintergrund" eigentlich bedeutet und welche Stärken und Herausforderungen kulturelle Vielfalt für Unternehmen bringen kann.</v>
      </c>
      <c r="D64" s="8" t="str">
        <f>IFERROR(__xludf.DUMMYFUNCTION("""COMPUTED_VALUE"""),"Germany is a country of immigration. What does this mean for the labor market? In this course, Prof. Dr. Aladin El-Mafaalani explains what ""migrant background"" means in a German context and what advantages and challenges this cultural diversity can brin"&amp;"g.")</f>
        <v>Germany is a country of immigration. What does this mean for the labor market? In this course, Prof. Dr. Aladin El-Mafaalani explains what "migrant background" means in a German context and what advantages and challenges this cultural diversity can bring.</v>
      </c>
      <c r="E64" s="9" t="str">
        <f>IFERROR(__xludf.DUMMYFUNCTION("""COMPUTED_VALUE"""),"Global Citizenship")</f>
        <v>Global Citizenship</v>
      </c>
      <c r="F64" s="10" t="str">
        <f>IFERROR(__xludf.DUMMYFUNCTION("""COMPUTED_VALUE"""),"Zeit Akademie - Aladin El-Mafaalani")</f>
        <v>Zeit Akademie - Aladin El-Mafaalani</v>
      </c>
      <c r="G64" s="11">
        <f>IFERROR(__xludf.DUMMYFUNCTION("""COMPUTED_VALUE"""),32.0)</f>
        <v>32</v>
      </c>
      <c r="H64" s="11">
        <f>IFERROR(__xludf.DUMMYFUNCTION("""COMPUTED_VALUE"""),25.0)</f>
        <v>25</v>
      </c>
      <c r="I64" s="12" t="str">
        <f>IFERROR(__xludf.DUMMYFUNCTION("""COMPUTED_VALUE"""),"English, German")</f>
        <v>English, German</v>
      </c>
      <c r="J64" s="12" t="str">
        <f>IFERROR(__xludf.DUMMYFUNCTION("""COMPUTED_VALUE"""),"German")</f>
        <v>German</v>
      </c>
      <c r="K64" s="13">
        <f>IFERROR(__xludf.DUMMYFUNCTION("""COMPUTED_VALUE"""),45384.0)</f>
        <v>45384</v>
      </c>
      <c r="L64" s="14" t="str">
        <f>IFERROR(__xludf.DUMMYFUNCTION("""COMPUTED_VALUE"""),"https://masterplan.com/courses/diversity-inclusion-ii-die-kraft-kultureller-vielfalt")</f>
        <v>https://masterplan.com/courses/diversity-inclusion-ii-die-kraft-kultureller-vielfalt</v>
      </c>
    </row>
    <row r="65">
      <c r="A65" s="15" t="str">
        <f>IFERROR(__xludf.DUMMYFUNCTION("""COMPUTED_VALUE"""),"Die Vergleichsfalle")</f>
        <v>Die Vergleichsfalle</v>
      </c>
      <c r="B65" s="16" t="str">
        <f>IFERROR(__xludf.DUMMYFUNCTION("""COMPUTED_VALUE"""),"The Comparison Trap")</f>
        <v>The Comparison Trap</v>
      </c>
      <c r="C65" s="17" t="str">
        <f>IFERROR(__xludf.DUMMYFUNCTION("""COMPUTED_VALUE"""),"„Hör auf, dich zu vergleichen!“ Den Satz kennst du, oder? Der Vergleich mit anderen ist allerdings ganz natürlich und kann sich sogar positiv auf dein persönliches Wachstum auswirken – sofern du nicht vom Weg abkommst und in die Vergleichfalle tappst!")</f>
        <v>„Hör auf, dich zu vergleichen!“ Den Satz kennst du, oder? Der Vergleich mit anderen ist allerdings ganz natürlich und kann sich sogar positiv auf dein persönliches Wachstum auswirken – sofern du nicht vom Weg abkommst und in die Vergleichfalle tappst!</v>
      </c>
      <c r="D65" s="17" t="str">
        <f>IFERROR(__xludf.DUMMYFUNCTION("""COMPUTED_VALUE"""),"""Stop comparing yourself!"" Sound familiar? Comparing ourselves to others is natural and can actually benefit your personal growth – as long as you don't stray off path and fall into the comparison trap!")</f>
        <v>"Stop comparing yourself!" Sound familiar? Comparing ourselves to others is natural and can actually benefit your personal growth – as long as you don't stray off path and fall into the comparison trap!</v>
      </c>
      <c r="E65" s="24" t="str">
        <f>IFERROR(__xludf.DUMMYFUNCTION("""COMPUTED_VALUE"""),"Emotional Intelligence")</f>
        <v>Emotional Intelligence</v>
      </c>
      <c r="F65" s="19" t="str">
        <f>IFERROR(__xludf.DUMMYFUNCTION("""COMPUTED_VALUE"""),"Masterplan - Laura Graichen")</f>
        <v>Masterplan - Laura Graichen</v>
      </c>
      <c r="G65" s="20">
        <f>IFERROR(__xludf.DUMMYFUNCTION("""COMPUTED_VALUE"""),3.0)</f>
        <v>3</v>
      </c>
      <c r="H65" s="20">
        <f>IFERROR(__xludf.DUMMYFUNCTION("""COMPUTED_VALUE"""),3.0)</f>
        <v>3</v>
      </c>
      <c r="I65" s="21" t="str">
        <f>IFERROR(__xludf.DUMMYFUNCTION("""COMPUTED_VALUE"""),"English, German")</f>
        <v>English, German</v>
      </c>
      <c r="J65" s="21" t="str">
        <f>IFERROR(__xludf.DUMMYFUNCTION("""COMPUTED_VALUE"""),"English, German")</f>
        <v>English, German</v>
      </c>
      <c r="K65" s="22">
        <f>IFERROR(__xludf.DUMMYFUNCTION("""COMPUTED_VALUE"""),45371.0)</f>
        <v>45371</v>
      </c>
      <c r="L65" s="23" t="str">
        <f>IFERROR(__xludf.DUMMYFUNCTION("""COMPUTED_VALUE"""),"https://masterplan.com/courses/mp-shorts-die-vergleichsfalle")</f>
        <v>https://masterplan.com/courses/mp-shorts-die-vergleichsfalle</v>
      </c>
    </row>
    <row r="66">
      <c r="A66" s="6" t="str">
        <f>IFERROR(__xludf.DUMMYFUNCTION("""COMPUTED_VALUE"""),"Arbeitsweisen ändern: Worauf kannst du verzichten?")</f>
        <v>Arbeitsweisen ändern: Worauf kannst du verzichten?</v>
      </c>
      <c r="B66" s="7" t="str">
        <f>IFERROR(__xludf.DUMMYFUNCTION("""COMPUTED_VALUE"""),"What Are You Willing to Give Up? Change the Way You Work")</f>
        <v>What Are You Willing to Give Up? Change the Way You Work</v>
      </c>
      <c r="C66" s="8" t="str">
        <f>IFERROR(__xludf.DUMMYFUNCTION("""COMPUTED_VALUE"""),"Wie baut man Teams auf, die etablierte Arbeitskulturen in Frage stellen? Martin Danoesastro fragt: Worauf kannst du verzichten? Lerne, deine Organisation so zu strukturieren, dass Menschen auf allen Ebenen Entscheidungen treffen und auf Veränderung reagie"&amp;"ren können.")</f>
        <v>Wie baut man Teams auf, die etablierte Arbeitskulturen in Frage stellen? Martin Danoesastro fragt: Worauf kannst du verzichten? Lerne, deine Organisation so zu strukturieren, dass Menschen auf allen Ebenen Entscheidungen treffen und auf Veränderung reagieren können.</v>
      </c>
      <c r="D66" s="8" t="str">
        <f>IFERROR(__xludf.DUMMYFUNCTION("""COMPUTED_VALUE"""),"What does it take to build the teams necessary to challenge entrenched work culture? Martin Danoesastro asks: What are you willing to give up? Learn how to structure your organization so that people at all levels are empowered to make decisions and respon"&amp;"d to change.")</f>
        <v>What does it take to build the teams necessary to challenge entrenched work culture? Martin Danoesastro asks: What are you willing to give up? Learn how to structure your organization so that people at all levels are empowered to make decisions and respond to change.</v>
      </c>
      <c r="E66" s="26" t="str">
        <f>IFERROR(__xludf.DUMMYFUNCTION("""COMPUTED_VALUE"""),"Collaboration and Leadership")</f>
        <v>Collaboration and Leadership</v>
      </c>
      <c r="F66" s="10" t="str">
        <f>IFERROR(__xludf.DUMMYFUNCTION("""COMPUTED_VALUE"""),"TED - ")</f>
        <v>TED - </v>
      </c>
      <c r="G66" s="11">
        <f>IFERROR(__xludf.DUMMYFUNCTION("""COMPUTED_VALUE"""),13.0)</f>
        <v>13</v>
      </c>
      <c r="H66" s="11">
        <f>IFERROR(__xludf.DUMMYFUNCTION("""COMPUTED_VALUE"""),3.0)</f>
        <v>3</v>
      </c>
      <c r="I66" s="12" t="str">
        <f>IFERROR(__xludf.DUMMYFUNCTION("""COMPUTED_VALUE"""),"English, German")</f>
        <v>English, German</v>
      </c>
      <c r="J66" s="12" t="str">
        <f>IFERROR(__xludf.DUMMYFUNCTION("""COMPUTED_VALUE"""),"English")</f>
        <v>English</v>
      </c>
      <c r="K66" s="13">
        <f>IFERROR(__xludf.DUMMYFUNCTION("""COMPUTED_VALUE"""),45365.0)</f>
        <v>45365</v>
      </c>
      <c r="L66" s="14" t="str">
        <f>IFERROR(__xludf.DUMMYFUNCTION("""COMPUTED_VALUE"""),"https://masterplan.com/courses/arbeitsweisen-andern-worauf-kannst-du-verzichten")</f>
        <v>https://masterplan.com/courses/arbeitsweisen-andern-worauf-kannst-du-verzichten</v>
      </c>
    </row>
    <row r="67">
      <c r="A67" s="15" t="str">
        <f>IFERROR(__xludf.DUMMYFUNCTION("""COMPUTED_VALUE"""),"Die ""Better Than Nothing""-Strategie")</f>
        <v>Die "Better Than Nothing"-Strategie</v>
      </c>
      <c r="B67" s="16" t="str">
        <f>IFERROR(__xludf.DUMMYFUNCTION("""COMPUTED_VALUE"""),"The ""Better Than Nothing"" Strategy")</f>
        <v>The "Better Than Nothing" Strategy</v>
      </c>
      <c r="C67" s="17" t="str">
        <f>IFERROR(__xludf.DUMMYFUNCTION("""COMPUTED_VALUE"""),"Kleine Veränderungen können Großes bewirken! Die ""Better Than Nothing"" Strategie zeigt, wie winzige Schritte langfristig zum Erfolg führen. Entdecke diese transformative Methode der Gewohnheitsbildung und revolutioniere deine Routinen!")</f>
        <v>Kleine Veränderungen können Großes bewirken! Die "Better Than Nothing" Strategie zeigt, wie winzige Schritte langfristig zum Erfolg führen. Entdecke diese transformative Methode der Gewohnheitsbildung und revolutioniere deine Routinen!</v>
      </c>
      <c r="D67" s="17" t="str">
        <f>IFERROR(__xludf.DUMMYFUNCTION("""COMPUTED_VALUE"""),"Small changes can make a big difference! The Better Than Nothing strategy shows how tiny steps can lead to long-term success. Discover this transformative method of habit formation and revolutionize your routines!")</f>
        <v>Small changes can make a big difference! The Better Than Nothing strategy shows how tiny steps can lead to long-term success. Discover this transformative method of habit formation and revolutionize your routines!</v>
      </c>
      <c r="E67" s="24" t="str">
        <f>IFERROR(__xludf.DUMMYFUNCTION("""COMPUTED_VALUE"""),"Emotional Intelligence")</f>
        <v>Emotional Intelligence</v>
      </c>
      <c r="F67" s="19" t="str">
        <f>IFERROR(__xludf.DUMMYFUNCTION("""COMPUTED_VALUE"""),"Masterplan - Nadine Wagenaar")</f>
        <v>Masterplan - Nadine Wagenaar</v>
      </c>
      <c r="G67" s="20">
        <f>IFERROR(__xludf.DUMMYFUNCTION("""COMPUTED_VALUE"""),3.0)</f>
        <v>3</v>
      </c>
      <c r="H67" s="20">
        <f>IFERROR(__xludf.DUMMYFUNCTION("""COMPUTED_VALUE"""),3.0)</f>
        <v>3</v>
      </c>
      <c r="I67" s="21" t="str">
        <f>IFERROR(__xludf.DUMMYFUNCTION("""COMPUTED_VALUE"""),"English, German")</f>
        <v>English, German</v>
      </c>
      <c r="J67" s="21" t="str">
        <f>IFERROR(__xludf.DUMMYFUNCTION("""COMPUTED_VALUE"""),"English, German")</f>
        <v>English, German</v>
      </c>
      <c r="K67" s="22">
        <f>IFERROR(__xludf.DUMMYFUNCTION("""COMPUTED_VALUE"""),45364.0)</f>
        <v>45364</v>
      </c>
      <c r="L67" s="23" t="str">
        <f>IFERROR(__xludf.DUMMYFUNCTION("""COMPUTED_VALUE"""),"https://masterplan.com/courses/mp-shorts-die-better-than-nothing-strategie")</f>
        <v>https://masterplan.com/courses/mp-shorts-die-better-than-nothing-strategie</v>
      </c>
    </row>
    <row r="68">
      <c r="A68" s="6" t="str">
        <f>IFERROR(__xludf.DUMMYFUNCTION("""COMPUTED_VALUE"""),"Meetings gestalten, Menschen verbinden")</f>
        <v>Meetings gestalten, Menschen verbinden</v>
      </c>
      <c r="B68" s="7" t="str">
        <f>IFERROR(__xludf.DUMMYFUNCTION("""COMPUTED_VALUE"""),"Becoming an Artful Gatherer")</f>
        <v>Becoming an Artful Gatherer</v>
      </c>
      <c r="C68" s="8" t="str">
        <f>IFERROR(__xludf.DUMMYFUNCTION("""COMPUTED_VALUE"""),"Überflüssige oder schlecht geführte Meetings gehören der Vergangenheit an. In diesem Kurs zeigt dir die Autorin Priya Parker, wie du produktive Meetings vorbereiten und leiten kannst – von der Einladung bis hin zur Verabschiedung.")</f>
        <v>Überflüssige oder schlecht geführte Meetings gehören der Vergangenheit an. In diesem Kurs zeigt dir die Autorin Priya Parker, wie du produktive Meetings vorbereiten und leiten kannst – von der Einladung bis hin zur Verabschiedung.</v>
      </c>
      <c r="D68" s="8" t="str">
        <f>IFERROR(__xludf.DUMMYFUNCTION("""COMPUTED_VALUE"""),"Make unnecessary or poorly run meetings a thing of the past. In this course, author and facilitator Priya Parker shows you how to plan and host productive meetings – from the invitation to the goodbyes.")</f>
        <v>Make unnecessary or poorly run meetings a thing of the past. In this course, author and facilitator Priya Parker shows you how to plan and host productive meetings – from the invitation to the goodbyes.</v>
      </c>
      <c r="E68" s="26" t="str">
        <f>IFERROR(__xludf.DUMMYFUNCTION("""COMPUTED_VALUE"""),"Collaboration and Leadership")</f>
        <v>Collaboration and Leadership</v>
      </c>
      <c r="F68" s="10" t="str">
        <f>IFERROR(__xludf.DUMMYFUNCTION("""COMPUTED_VALUE"""),"Big Think - Priya Parker")</f>
        <v>Big Think - Priya Parker</v>
      </c>
      <c r="G68" s="11">
        <f>IFERROR(__xludf.DUMMYFUNCTION("""COMPUTED_VALUE"""),62.0)</f>
        <v>62</v>
      </c>
      <c r="H68" s="11">
        <f>IFERROR(__xludf.DUMMYFUNCTION("""COMPUTED_VALUE"""),31.0)</f>
        <v>31</v>
      </c>
      <c r="I68" s="12" t="str">
        <f>IFERROR(__xludf.DUMMYFUNCTION("""COMPUTED_VALUE"""),"English, German")</f>
        <v>English, German</v>
      </c>
      <c r="J68" s="12" t="str">
        <f>IFERROR(__xludf.DUMMYFUNCTION("""COMPUTED_VALUE"""),"English")</f>
        <v>English</v>
      </c>
      <c r="K68" s="13">
        <f>IFERROR(__xludf.DUMMYFUNCTION("""COMPUTED_VALUE"""),45359.0)</f>
        <v>45359</v>
      </c>
      <c r="L68" s="14" t="str">
        <f>IFERROR(__xludf.DUMMYFUNCTION("""COMPUTED_VALUE"""),"https://masterplan.com/courses/meetings-gestalten-menschen-verbinden")</f>
        <v>https://masterplan.com/courses/meetings-gestalten-menschen-verbinden</v>
      </c>
    </row>
    <row r="69">
      <c r="A69" s="15" t="str">
        <f>IFERROR(__xludf.DUMMYFUNCTION("""COMPUTED_VALUE"""),"Balanced Scorecard")</f>
        <v>Balanced Scorecard</v>
      </c>
      <c r="B69" s="16" t="str">
        <f>IFERROR(__xludf.DUMMYFUNCTION("""COMPUTED_VALUE"""),"Balanced Scorecard")</f>
        <v>Balanced Scorecard</v>
      </c>
      <c r="C69" s="17" t="str">
        <f>IFERROR(__xludf.DUMMYFUNCTION("""COMPUTED_VALUE"""),"Sind wir mal ehrlich: In viele Unternehmen werden Aufgaben und Prioritäten aus dem Bauch heraus entschieden. Mitarbeitende und ganze Teams verfehlen oft dadurch strategische Zielvorgaben. Da kann nur noch ein Tool helfen: Die Balanced Scorecard!")</f>
        <v>Sind wir mal ehrlich: In viele Unternehmen werden Aufgaben und Prioritäten aus dem Bauch heraus entschieden. Mitarbeitende und ganze Teams verfehlen oft dadurch strategische Zielvorgaben. Da kann nur noch ein Tool helfen: Die Balanced Scorecard!</v>
      </c>
      <c r="D69" s="17" t="str">
        <f>IFERROR(__xludf.DUMMYFUNCTION("""COMPUTED_VALUE"""),"Let's face it: In many companies, tasks and priorities are decided based on gut feeling. As a result, employees and entire teams often miss strategic goals. There's a tool that can help: The Balanced Scorecard!")</f>
        <v>Let's face it: In many companies, tasks and priorities are decided based on gut feeling. As a result, employees and entire teams often miss strategic goals. There's a tool that can help: The Balanced Scorecard!</v>
      </c>
      <c r="E69" s="26" t="str">
        <f>IFERROR(__xludf.DUMMYFUNCTION("""COMPUTED_VALUE"""),"Collaboration and Leadership")</f>
        <v>Collaboration and Leadership</v>
      </c>
      <c r="F69" s="19" t="str">
        <f>IFERROR(__xludf.DUMMYFUNCTION("""COMPUTED_VALUE"""),"Masterplan - Sabine Pickett")</f>
        <v>Masterplan - Sabine Pickett</v>
      </c>
      <c r="G69" s="20">
        <f>IFERROR(__xludf.DUMMYFUNCTION("""COMPUTED_VALUE"""),5.0)</f>
        <v>5</v>
      </c>
      <c r="H69" s="20">
        <f>IFERROR(__xludf.DUMMYFUNCTION("""COMPUTED_VALUE"""),4.0)</f>
        <v>4</v>
      </c>
      <c r="I69" s="21" t="str">
        <f>IFERROR(__xludf.DUMMYFUNCTION("""COMPUTED_VALUE"""),"English, German")</f>
        <v>English, German</v>
      </c>
      <c r="J69" s="21" t="str">
        <f>IFERROR(__xludf.DUMMYFUNCTION("""COMPUTED_VALUE"""),"English, German")</f>
        <v>English, German</v>
      </c>
      <c r="K69" s="22">
        <f>IFERROR(__xludf.DUMMYFUNCTION("""COMPUTED_VALUE"""),45357.0)</f>
        <v>45357</v>
      </c>
      <c r="L69" s="23" t="str">
        <f>IFERROR(__xludf.DUMMYFUNCTION("""COMPUTED_VALUE"""),"https://masterplan.com/courses/mp-shorts-balanced-scorecard")</f>
        <v>https://masterplan.com/courses/mp-shorts-balanced-scorecard</v>
      </c>
    </row>
    <row r="70">
      <c r="A70" s="6" t="str">
        <f>IFERROR(__xludf.DUMMYFUNCTION("""COMPUTED_VALUE"""),"Weniger schreiben, mehr sagen")</f>
        <v>Weniger schreiben, mehr sagen</v>
      </c>
      <c r="B70" s="7" t="str">
        <f>IFERROR(__xludf.DUMMYFUNCTION("""COMPUTED_VALUE"""),"How to Write Less But Say More")</f>
        <v>How to Write Less But Say More</v>
      </c>
      <c r="C70" s="8" t="str">
        <f>IFERROR(__xludf.DUMMYFUNCTION("""COMPUTED_VALUE"""),"Weniger ist mehr – und das gilt auch für Worte. Hör dir an, was Jim VandeHai bei Politico und Axios gelernt hat. Wie kannst du deinen Schreibstil radikal überdenken, um in einer abgelenkten digitalen Welt Aufmerksamkeit zu erregen?")</f>
        <v>Weniger ist mehr – und das gilt auch für Worte. Hör dir an, was Jim VandeHai bei Politico und Axios gelernt hat. Wie kannst du deinen Schreibstil radikal überdenken, um in einer abgelenkten digitalen Welt Aufmerksamkeit zu erregen?</v>
      </c>
      <c r="D70" s="8" t="str">
        <f>IFERROR(__xludf.DUMMYFUNCTION("""COMPUTED_VALUE"""),"Less is more. The same goes for words. Listen as Politico and Axios co-founder Jim VandeHei shares what he's learned leading two media companies – and how to radically rethink the way you write to keep people's attention in a distracted digital world.")</f>
        <v>Less is more. The same goes for words. Listen as Politico and Axios co-founder Jim VandeHei shares what he's learned leading two media companies – and how to radically rethink the way you write to keep people's attention in a distracted digital world.</v>
      </c>
      <c r="E70" s="28" t="str">
        <f>IFERROR(__xludf.DUMMYFUNCTION("""COMPUTED_VALUE"""),"Communication")</f>
        <v>Communication</v>
      </c>
      <c r="F70" s="10" t="str">
        <f>IFERROR(__xludf.DUMMYFUNCTION("""COMPUTED_VALUE"""),"TED - ")</f>
        <v>TED - </v>
      </c>
      <c r="G70" s="11">
        <f>IFERROR(__xludf.DUMMYFUNCTION("""COMPUTED_VALUE"""),15.0)</f>
        <v>15</v>
      </c>
      <c r="H70" s="11">
        <f>IFERROR(__xludf.DUMMYFUNCTION("""COMPUTED_VALUE"""),3.0)</f>
        <v>3</v>
      </c>
      <c r="I70" s="12" t="str">
        <f>IFERROR(__xludf.DUMMYFUNCTION("""COMPUTED_VALUE"""),"English, German")</f>
        <v>English, German</v>
      </c>
      <c r="J70" s="12" t="str">
        <f>IFERROR(__xludf.DUMMYFUNCTION("""COMPUTED_VALUE"""),"English")</f>
        <v>English</v>
      </c>
      <c r="K70" s="13">
        <f>IFERROR(__xludf.DUMMYFUNCTION("""COMPUTED_VALUE"""),45356.0)</f>
        <v>45356</v>
      </c>
      <c r="L70" s="14" t="str">
        <f>IFERROR(__xludf.DUMMYFUNCTION("""COMPUTED_VALUE"""),"https://masterplan.com/courses/weniger-schreiben-mehr-sagen")</f>
        <v>https://masterplan.com/courses/weniger-schreiben-mehr-sagen</v>
      </c>
    </row>
    <row r="71">
      <c r="A71" s="15" t="str">
        <f>IFERROR(__xludf.DUMMYFUNCTION("""COMPUTED_VALUE"""),"Gib Hackern &amp; Fake News keine Chance! Staying Safe Digitally")</f>
        <v>Gib Hackern &amp; Fake News keine Chance! Staying Safe Digitally</v>
      </c>
      <c r="B71" s="16" t="str">
        <f>IFERROR(__xludf.DUMMYFUNCTION("""COMPUTED_VALUE"""),"Don't Give Hackers &amp; Fake News a Chance! Staying Safe Digitally")</f>
        <v>Don't Give Hackers &amp; Fake News a Chance! Staying Safe Digitally</v>
      </c>
      <c r="C71" s="17" t="str">
        <f>IFERROR(__xludf.DUMMYFUNCTION("""COMPUTED_VALUE"""),"Phishing, Spoofing, Deepfakes und Filterblasen - die Liste der potenziellen Gefahren des Internets scheint kein Ende zu nehmen. Es wird Zeit, die Sache selbst in die Hand zu nehmen. Werde noch heute zum Vollprofi im sicheren Umgang mit der Cyberwelt!")</f>
        <v>Phishing, Spoofing, Deepfakes und Filterblasen - die Liste der potenziellen Gefahren des Internets scheint kein Ende zu nehmen. Es wird Zeit, die Sache selbst in die Hand zu nehmen. Werde noch heute zum Vollprofi im sicheren Umgang mit der Cyberwelt!</v>
      </c>
      <c r="D71" s="17" t="str">
        <f>IFERROR(__xludf.DUMMYFUNCTION("""COMPUTED_VALUE"""),"Phishing, spoofing, deepfakes, and filter bubbles – the list of potential internet dangers seems endless. It's time to take matters into your own hands. Become a cybersecurity expert today!")</f>
        <v>Phishing, spoofing, deepfakes, and filter bubbles – the list of potential internet dangers seems endless. It's time to take matters into your own hands. Become a cybersecurity expert today!</v>
      </c>
      <c r="E71" s="25" t="str">
        <f>IFERROR(__xludf.DUMMYFUNCTION("""COMPUTED_VALUE"""),"Digital Literacy")</f>
        <v>Digital Literacy</v>
      </c>
      <c r="F71" s="19" t="str">
        <f>IFERROR(__xludf.DUMMYFUNCTION("""COMPUTED_VALUE"""),"Masterplan - Nadine Wagenaar")</f>
        <v>Masterplan - Nadine Wagenaar</v>
      </c>
      <c r="G71" s="20">
        <f>IFERROR(__xludf.DUMMYFUNCTION("""COMPUTED_VALUE"""),45.0)</f>
        <v>45</v>
      </c>
      <c r="H71" s="20">
        <f>IFERROR(__xludf.DUMMYFUNCTION("""COMPUTED_VALUE"""),23.0)</f>
        <v>23</v>
      </c>
      <c r="I71" s="21" t="str">
        <f>IFERROR(__xludf.DUMMYFUNCTION("""COMPUTED_VALUE"""),"English, German")</f>
        <v>English, German</v>
      </c>
      <c r="J71" s="21" t="str">
        <f>IFERROR(__xludf.DUMMYFUNCTION("""COMPUTED_VALUE"""),"English, German")</f>
        <v>English, German</v>
      </c>
      <c r="K71" s="22">
        <f>IFERROR(__xludf.DUMMYFUNCTION("""COMPUTED_VALUE"""),45355.0)</f>
        <v>45355</v>
      </c>
      <c r="L71" s="23" t="str">
        <f>IFERROR(__xludf.DUMMYFUNCTION("""COMPUTED_VALUE"""),"https://masterplan.com/courses/gib-hackern-fake-news-keine-chance-staying-safe-digitally")</f>
        <v>https://masterplan.com/courses/gib-hackern-fake-news-keine-chance-staying-safe-digitally</v>
      </c>
    </row>
    <row r="72">
      <c r="A72" s="6" t="str">
        <f>IFERROR(__xludf.DUMMYFUNCTION("""COMPUTED_VALUE"""),"Entfessle deine natürliche Kreativität")</f>
        <v>Entfessle deine natürliche Kreativität</v>
      </c>
      <c r="B72" s="7" t="str">
        <f>IFERROR(__xludf.DUMMYFUNCTION("""COMPUTED_VALUE"""),"A Powerful Way to Unleash Your Natural Creativity")</f>
        <v>A Powerful Way to Unleash Your Natural Creativity</v>
      </c>
      <c r="C72" s="8" t="str">
        <f>IFERROR(__xludf.DUMMYFUNCTION("""COMPUTED_VALUE"""),"Was haben Albert Einstein und Charles Darwin gemeinsam? Beide entfesselten durch Slow-Motion Multitasking ihren kreativen Geist. Erfahre von Tim Harford, wie du diese Technik anwendest und den kreativen Funken in dir selbst zündest!")</f>
        <v>Was haben Albert Einstein und Charles Darwin gemeinsam? Beide entfesselten durch Slow-Motion Multitasking ihren kreativen Geist. Erfahre von Tim Harford, wie du diese Technik anwendest und den kreativen Funken in dir selbst zündest!</v>
      </c>
      <c r="D72" s="8" t="str">
        <f>IFERROR(__xludf.DUMMYFUNCTION("""COMPUTED_VALUE"""),"What can we learn from the world's most creative people? They ""slow-motion multitask,"" juggle projects and move between topics without feeling hurried. Tim Harford shares how innovators like Einstein and Darwin found their inspiration through cross-trai"&amp;"ning their minds.")</f>
        <v>What can we learn from the world's most creative people? They "slow-motion multitask," juggle projects and move between topics without feeling hurried. Tim Harford shares how innovators like Einstein and Darwin found their inspiration through cross-training their minds.</v>
      </c>
      <c r="E72" s="18" t="str">
        <f>IFERROR(__xludf.DUMMYFUNCTION("""COMPUTED_VALUE"""),"Creativity and Innovation")</f>
        <v>Creativity and Innovation</v>
      </c>
      <c r="F72" s="10" t="str">
        <f>IFERROR(__xludf.DUMMYFUNCTION("""COMPUTED_VALUE"""),"TED - ")</f>
        <v>TED - </v>
      </c>
      <c r="G72" s="11">
        <f>IFERROR(__xludf.DUMMYFUNCTION("""COMPUTED_VALUE"""),12.0)</f>
        <v>12</v>
      </c>
      <c r="H72" s="11">
        <f>IFERROR(__xludf.DUMMYFUNCTION("""COMPUTED_VALUE"""),3.0)</f>
        <v>3</v>
      </c>
      <c r="I72" s="12" t="str">
        <f>IFERROR(__xludf.DUMMYFUNCTION("""COMPUTED_VALUE"""),"English, German")</f>
        <v>English, German</v>
      </c>
      <c r="J72" s="12" t="str">
        <f>IFERROR(__xludf.DUMMYFUNCTION("""COMPUTED_VALUE"""),"English")</f>
        <v>English</v>
      </c>
      <c r="K72" s="13">
        <f>IFERROR(__xludf.DUMMYFUNCTION("""COMPUTED_VALUE"""),45349.0)</f>
        <v>45349</v>
      </c>
      <c r="L72" s="14" t="str">
        <f>IFERROR(__xludf.DUMMYFUNCTION("""COMPUTED_VALUE"""),"https://masterplan.com/courses/entfessle-deine-naturliche-kreativitat")</f>
        <v>https://masterplan.com/courses/entfessle-deine-naturliche-kreativitat</v>
      </c>
    </row>
    <row r="73">
      <c r="A73" s="15" t="str">
        <f>IFERROR(__xludf.DUMMYFUNCTION("""COMPUTED_VALUE"""),"Erfolgsfaktor Kreativität: Strategien und Methoden")</f>
        <v>Erfolgsfaktor Kreativität: Strategien und Methoden</v>
      </c>
      <c r="B73" s="16" t="str">
        <f>IFERROR(__xludf.DUMMYFUNCTION("""COMPUTED_VALUE"""),"Success through Creativity: Strategies and Methods")</f>
        <v>Success through Creativity: Strategies and Methods</v>
      </c>
      <c r="C73" s="17" t="str">
        <f>IFERROR(__xludf.DUMMYFUNCTION("""COMPUTED_VALUE"""),"Du willst die Kreativität deines Unternehmens auf das nächste Level bringen? Dann erfahre in diesem Kurs, wie du die richtigen Leute findest, worauf es bei guten Ideen ankommt und wie die richtige Umgebung die kreative Zusammenarbeit fördert!")</f>
        <v>Du willst die Kreativität deines Unternehmens auf das nächste Level bringen? Dann erfahre in diesem Kurs, wie du die richtigen Leute findest, worauf es bei guten Ideen ankommt und wie die richtige Umgebung die kreative Zusammenarbeit fördert!</v>
      </c>
      <c r="D73" s="17" t="str">
        <f>IFERROR(__xludf.DUMMYFUNCTION("""COMPUTED_VALUE"""),"Want to take your organization's creativity to the next level? In this course, you will learn how to find the right people, what makes a good idea tick, and how to create the right environment for creative collaboration!")</f>
        <v>Want to take your organization's creativity to the next level? In this course, you will learn how to find the right people, what makes a good idea tick, and how to create the right environment for creative collaboration!</v>
      </c>
      <c r="E73" s="18" t="str">
        <f>IFERROR(__xludf.DUMMYFUNCTION("""COMPUTED_VALUE"""),"Creativity and Innovation")</f>
        <v>Creativity and Innovation</v>
      </c>
      <c r="F73" s="19" t="str">
        <f>IFERROR(__xludf.DUMMYFUNCTION("""COMPUTED_VALUE"""),"Harvard Business Publishing - ")</f>
        <v>Harvard Business Publishing - </v>
      </c>
      <c r="G73" s="20">
        <f>IFERROR(__xludf.DUMMYFUNCTION("""COMPUTED_VALUE"""),71.0)</f>
        <v>71</v>
      </c>
      <c r="H73" s="20">
        <f>IFERROR(__xludf.DUMMYFUNCTION("""COMPUTED_VALUE"""),20.0)</f>
        <v>20</v>
      </c>
      <c r="I73" s="21" t="str">
        <f>IFERROR(__xludf.DUMMYFUNCTION("""COMPUTED_VALUE"""),"English, German")</f>
        <v>English, German</v>
      </c>
      <c r="J73" s="21" t="str">
        <f>IFERROR(__xludf.DUMMYFUNCTION("""COMPUTED_VALUE"""),"Text only")</f>
        <v>Text only</v>
      </c>
      <c r="K73" s="22">
        <f>IFERROR(__xludf.DUMMYFUNCTION("""COMPUTED_VALUE"""),45348.0)</f>
        <v>45348</v>
      </c>
      <c r="L73" s="23" t="str">
        <f>IFERROR(__xludf.DUMMYFUNCTION("""COMPUTED_VALUE"""),"https://masterplan.com/courses/erfolgsfaktor-kreativitat-strategien-und-methoden")</f>
        <v>https://masterplan.com/courses/erfolgsfaktor-kreativitat-strategien-und-methoden</v>
      </c>
    </row>
    <row r="74">
      <c r="A74" s="6" t="str">
        <f>IFERROR(__xludf.DUMMYFUNCTION("""COMPUTED_VALUE"""),"Die Trident-Methode")</f>
        <v>Die Trident-Methode</v>
      </c>
      <c r="B74" s="7" t="str">
        <f>IFERROR(__xludf.DUMMYFUNCTION("""COMPUTED_VALUE"""),"The Trident Method")</f>
        <v>The Trident Method</v>
      </c>
      <c r="C74" s="8" t="str">
        <f>IFERROR(__xludf.DUMMYFUNCTION("""COMPUTED_VALUE"""),"Die Trident-Methode kann dir helfen, organisiert und strukturiert durchs Leben zu gehen. Entdecke, wie diese Methode dir dabei hilft, deine Zeit und Ressourcen effizienter zu nutzen und somit mehr Raum für das zu schaffen, was dir wirklich wichtig ist!")</f>
        <v>Die Trident-Methode kann dir helfen, organisiert und strukturiert durchs Leben zu gehen. Entdecke, wie diese Methode dir dabei hilft, deine Zeit und Ressourcen effizienter zu nutzen und somit mehr Raum für das zu schaffen, was dir wirklich wichtig ist!</v>
      </c>
      <c r="D74" s="8" t="str">
        <f>IFERROR(__xludf.DUMMYFUNCTION("""COMPUTED_VALUE"""),"The Trident Method can help you navigate life with organization and structure. Find out how it helps you use your time and resources more efficiently, creating more space for what truly matters to you!")</f>
        <v>The Trident Method can help you navigate life with organization and structure. Find out how it helps you use your time and resources more efficiently, creating more space for what truly matters to you!</v>
      </c>
      <c r="E74" s="24" t="str">
        <f>IFERROR(__xludf.DUMMYFUNCTION("""COMPUTED_VALUE"""),"Emotional Intelligence")</f>
        <v>Emotional Intelligence</v>
      </c>
      <c r="F74" s="10" t="str">
        <f>IFERROR(__xludf.DUMMYFUNCTION("""COMPUTED_VALUE"""),"Masterplan - Laura Graichen")</f>
        <v>Masterplan - Laura Graichen</v>
      </c>
      <c r="G74" s="11">
        <f>IFERROR(__xludf.DUMMYFUNCTION("""COMPUTED_VALUE"""),4.0)</f>
        <v>4</v>
      </c>
      <c r="H74" s="11">
        <f>IFERROR(__xludf.DUMMYFUNCTION("""COMPUTED_VALUE"""),3.0)</f>
        <v>3</v>
      </c>
      <c r="I74" s="12" t="str">
        <f>IFERROR(__xludf.DUMMYFUNCTION("""COMPUTED_VALUE"""),"English, German")</f>
        <v>English, German</v>
      </c>
      <c r="J74" s="12" t="str">
        <f>IFERROR(__xludf.DUMMYFUNCTION("""COMPUTED_VALUE"""),"English, German")</f>
        <v>English, German</v>
      </c>
      <c r="K74" s="13">
        <f>IFERROR(__xludf.DUMMYFUNCTION("""COMPUTED_VALUE"""),45348.0)</f>
        <v>45348</v>
      </c>
      <c r="L74" s="14" t="str">
        <f>IFERROR(__xludf.DUMMYFUNCTION("""COMPUTED_VALUE"""),"https://masterplan.com/courses/mp-shorts-die-trident-methode")</f>
        <v>https://masterplan.com/courses/mp-shorts-die-trident-methode</v>
      </c>
    </row>
    <row r="75">
      <c r="A75" s="15" t="str">
        <f>IFERROR(__xludf.DUMMYFUNCTION("""COMPUTED_VALUE"""),"Der Ostrich Effekt")</f>
        <v>Der Ostrich Effekt</v>
      </c>
      <c r="B75" s="16" t="str">
        <f>IFERROR(__xludf.DUMMYFUNCTION("""COMPUTED_VALUE"""),"The Ostrich Effect")</f>
        <v>The Ostrich Effect</v>
      </c>
      <c r="C75" s="17" t="str">
        <f>IFERROR(__xludf.DUMMYFUNCTION("""COMPUTED_VALUE"""),"Leugnen, weggucken, ausweichen: Wie viel Strauß steckt in dir?! Der Ostrich-Effekt beschreibt das Verhalten, unbequeme Wahrheiten zu ignorieren und vor drohenden Gefahren die Augen zu verschließen. Probleme löst das nicht – die Reframing-Technik hingegen "&amp;"regelt!")</f>
        <v>Leugnen, weggucken, ausweichen: Wie viel Strauß steckt in dir?! Der Ostrich-Effekt beschreibt das Verhalten, unbequeme Wahrheiten zu ignorieren und vor drohenden Gefahren die Augen zu verschließen. Probleme löst das nicht – die Reframing-Technik hingegen regelt!</v>
      </c>
      <c r="D75" s="17" t="str">
        <f>IFERROR(__xludf.DUMMYFUNCTION("""COMPUTED_VALUE"""),"Denial, avoidance, evasion: How much ostrich is in you? The Ostrich Effect describes ignoring uncomfortable truths and turning a blind eye to looming dangers. This doesn't solve problems – but cognitive reframing does!")</f>
        <v>Denial, avoidance, evasion: How much ostrich is in you? The Ostrich Effect describes ignoring uncomfortable truths and turning a blind eye to looming dangers. This doesn't solve problems – but cognitive reframing does!</v>
      </c>
      <c r="E75" s="24" t="str">
        <f>IFERROR(__xludf.DUMMYFUNCTION("""COMPUTED_VALUE"""),"Emotional Intelligence")</f>
        <v>Emotional Intelligence</v>
      </c>
      <c r="F75" s="19" t="str">
        <f>IFERROR(__xludf.DUMMYFUNCTION("""COMPUTED_VALUE"""),"Masterplan - Nadine Wagenaar")</f>
        <v>Masterplan - Nadine Wagenaar</v>
      </c>
      <c r="G75" s="20">
        <f>IFERROR(__xludf.DUMMYFUNCTION("""COMPUTED_VALUE"""),4.0)</f>
        <v>4</v>
      </c>
      <c r="H75" s="20">
        <f>IFERROR(__xludf.DUMMYFUNCTION("""COMPUTED_VALUE"""),3.0)</f>
        <v>3</v>
      </c>
      <c r="I75" s="21" t="str">
        <f>IFERROR(__xludf.DUMMYFUNCTION("""COMPUTED_VALUE"""),"English, German")</f>
        <v>English, German</v>
      </c>
      <c r="J75" s="21" t="str">
        <f>IFERROR(__xludf.DUMMYFUNCTION("""COMPUTED_VALUE"""),"English, German")</f>
        <v>English, German</v>
      </c>
      <c r="K75" s="22">
        <f>IFERROR(__xludf.DUMMYFUNCTION("""COMPUTED_VALUE"""),45342.0)</f>
        <v>45342</v>
      </c>
      <c r="L75" s="23" t="str">
        <f>IFERROR(__xludf.DUMMYFUNCTION("""COMPUTED_VALUE"""),"https://masterplan.com/courses/mp-shorts-der-ostrich-effekt")</f>
        <v>https://masterplan.com/courses/mp-shorts-der-ostrich-effekt</v>
      </c>
    </row>
    <row r="76">
      <c r="A76" s="6" t="str">
        <f>IFERROR(__xludf.DUMMYFUNCTION("""COMPUTED_VALUE"""),"Der Morgen macht den Tag – Tipps aus der Neurowissenschaft")</f>
        <v>Der Morgen macht den Tag – Tipps aus der Neurowissenschaft</v>
      </c>
      <c r="B76" s="7" t="str">
        <f>IFERROR(__xludf.DUMMYFUNCTION("""COMPUTED_VALUE"""),"Morning Excellence: Neuroscience-Backed Tips for Success")</f>
        <v>Morning Excellence: Neuroscience-Backed Tips for Success</v>
      </c>
      <c r="C76" s="8" t="str">
        <f>IFERROR(__xludf.DUMMYFUNCTION("""COMPUTED_VALUE"""),"Wir enthüllen die Geheimnisse einer vitalen Morgenroutine! Erfahre, warum du Kaffee nicht direkt nach dem Aufstehen trinken solltest und wie du ihn optimal einsetzt, um wach und fokussiert zu bleiben. Außerdem: Warum mindert Kunstlicht am Abend deine Schl"&amp;"afqualität?")</f>
        <v>Wir enthüllen die Geheimnisse einer vitalen Morgenroutine! Erfahre, warum du Kaffee nicht direkt nach dem Aufstehen trinken solltest und wie du ihn optimal einsetzt, um wach und fokussiert zu bleiben. Außerdem: Warum mindert Kunstlicht am Abend deine Schlafqualität?</v>
      </c>
      <c r="D76" s="8" t="str">
        <f>IFERROR(__xludf.DUMMYFUNCTION("""COMPUTED_VALUE"""),"We reveal the secrets of a vigorous morning routine! Discover why you shouldn't drink coffee right after waking up and how to use it effectively to stay awake and focused. Plus, find out why artificial light in the evening reduces your sleep quality.")</f>
        <v>We reveal the secrets of a vigorous morning routine! Discover why you shouldn't drink coffee right after waking up and how to use it effectively to stay awake and focused. Plus, find out why artificial light in the evening reduces your sleep quality.</v>
      </c>
      <c r="E76" s="24" t="str">
        <f>IFERROR(__xludf.DUMMYFUNCTION("""COMPUTED_VALUE"""),"Emotional Intelligence")</f>
        <v>Emotional Intelligence</v>
      </c>
      <c r="F76" s="10" t="str">
        <f>IFERROR(__xludf.DUMMYFUNCTION("""COMPUTED_VALUE"""),"Masterplan - Laura Graichen")</f>
        <v>Masterplan - Laura Graichen</v>
      </c>
      <c r="G76" s="11">
        <f>IFERROR(__xludf.DUMMYFUNCTION("""COMPUTED_VALUE"""),4.0)</f>
        <v>4</v>
      </c>
      <c r="H76" s="11">
        <f>IFERROR(__xludf.DUMMYFUNCTION("""COMPUTED_VALUE"""),3.0)</f>
        <v>3</v>
      </c>
      <c r="I76" s="12" t="str">
        <f>IFERROR(__xludf.DUMMYFUNCTION("""COMPUTED_VALUE"""),"English, German")</f>
        <v>English, German</v>
      </c>
      <c r="J76" s="12" t="str">
        <f>IFERROR(__xludf.DUMMYFUNCTION("""COMPUTED_VALUE"""),"English, German")</f>
        <v>English, German</v>
      </c>
      <c r="K76" s="13">
        <f>IFERROR(__xludf.DUMMYFUNCTION("""COMPUTED_VALUE"""),45335.0)</f>
        <v>45335</v>
      </c>
      <c r="L76" s="14" t="str">
        <f>IFERROR(__xludf.DUMMYFUNCTION("""COMPUTED_VALUE"""),"https://masterplan.com/courses/mp-shorts-der-morgen-macht-den-tag-tipps-aus-der-neurowissenschaft")</f>
        <v>https://masterplan.com/courses/mp-shorts-der-morgen-macht-den-tag-tipps-aus-der-neurowissenschaft</v>
      </c>
    </row>
    <row r="77">
      <c r="A77" s="15" t="str">
        <f>IFERROR(__xludf.DUMMYFUNCTION("""COMPUTED_VALUE"""),"Menschlichkeit als Führungstrategie")</f>
        <v>Menschlichkeit als Führungstrategie</v>
      </c>
      <c r="B77" s="16" t="str">
        <f>IFERROR(__xludf.DUMMYFUNCTION("""COMPUTED_VALUE"""),"The Principles of Good Power")</f>
        <v>The Principles of Good Power</v>
      </c>
      <c r="C77" s="17" t="str">
        <f>IFERROR(__xludf.DUMMYFUNCTION("""COMPUTED_VALUE"""),"Ob du ein Team oder ein Unternehmen leitest, es kommt nicht darauf an, was du sagst, sondern wie sich die Leute fühlen. Behandle deine Leute wie Menschen und sei selbst authentisch und ehrlich, so schaffst du gemeinsame Überzeugungen und Visionen für den "&amp;"Erfolg.")</f>
        <v>Ob du ein Team oder ein Unternehmen leitest, es kommt nicht darauf an, was du sagst, sondern wie sich die Leute fühlen. Behandle deine Leute wie Menschen und sei selbst authentisch und ehrlich, so schaffst du gemeinsame Überzeugungen und Visionen für den Erfolg.</v>
      </c>
      <c r="D77" s="17" t="str">
        <f>IFERROR(__xludf.DUMMYFUNCTION("""COMPUTED_VALUE"""),"Whether you're leading a team or a company, what you say matters far less than how you make people feel. By treating people like the humans they are and being authentic and honest yourself, you will build belief and visions for shared success. ")</f>
        <v>Whether you're leading a team or a company, what you say matters far less than how you make people feel. By treating people like the humans they are and being authentic and honest yourself, you will build belief and visions for shared success. </v>
      </c>
      <c r="E77" s="26" t="str">
        <f>IFERROR(__xludf.DUMMYFUNCTION("""COMPUTED_VALUE"""),"Collaboration and Leadership")</f>
        <v>Collaboration and Leadership</v>
      </c>
      <c r="F77" s="19" t="str">
        <f>IFERROR(__xludf.DUMMYFUNCTION("""COMPUTED_VALUE"""),"Big Think - Ginni Rometty")</f>
        <v>Big Think - Ginni Rometty</v>
      </c>
      <c r="G77" s="20">
        <f>IFERROR(__xludf.DUMMYFUNCTION("""COMPUTED_VALUE"""),44.0)</f>
        <v>44</v>
      </c>
      <c r="H77" s="20">
        <f>IFERROR(__xludf.DUMMYFUNCTION("""COMPUTED_VALUE"""),20.0)</f>
        <v>20</v>
      </c>
      <c r="I77" s="21" t="str">
        <f>IFERROR(__xludf.DUMMYFUNCTION("""COMPUTED_VALUE"""),"English, German")</f>
        <v>English, German</v>
      </c>
      <c r="J77" s="21" t="str">
        <f>IFERROR(__xludf.DUMMYFUNCTION("""COMPUTED_VALUE"""),"English")</f>
        <v>English</v>
      </c>
      <c r="K77" s="22">
        <f>IFERROR(__xludf.DUMMYFUNCTION("""COMPUTED_VALUE"""),45335.0)</f>
        <v>45335</v>
      </c>
      <c r="L77" s="23" t="str">
        <f>IFERROR(__xludf.DUMMYFUNCTION("""COMPUTED_VALUE"""),"https://masterplan.com/courses/menschlichkeit-als-fuhrungstrategie")</f>
        <v>https://masterplan.com/courses/menschlichkeit-als-fuhrungstrategie</v>
      </c>
    </row>
    <row r="78">
      <c r="A78" s="6" t="str">
        <f>IFERROR(__xludf.DUMMYFUNCTION("""COMPUTED_VALUE"""),"Entfalte deine Produktivität")</f>
        <v>Entfalte deine Produktivität</v>
      </c>
      <c r="B78" s="7" t="str">
        <f>IFERROR(__xludf.DUMMYFUNCTION("""COMPUTED_VALUE"""),"Unblocking your Productivity ")</f>
        <v>Unblocking your Productivity </v>
      </c>
      <c r="C78" s="8" t="str">
        <f>IFERROR(__xludf.DUMMYFUNCTION("""COMPUTED_VALUE"""),"In einer Welt voller digitaler Apps, Tools und Meetings, die um Aufmerksamkeit buhlen, fällt es schwer, in den Flow der Produktivität zu kommen. Wenn sich unerledigte Aufgaben manchmal wie eine Last für dich anfühlen, ist dieser Kurs genau der Richtige fü"&amp;"r dich!")</f>
        <v>In einer Welt voller digitaler Apps, Tools und Meetings, die um Aufmerksamkeit buhlen, fällt es schwer, in den Flow der Produktivität zu kommen. Wenn sich unerledigte Aufgaben manchmal wie eine Last für dich anfühlen, ist dieser Kurs genau der Richtige für dich!</v>
      </c>
      <c r="D78" s="8" t="str">
        <f>IFERROR(__xludf.DUMMYFUNCTION("""COMPUTED_VALUE"""),"With a multitude of digital apps, tools, and meetings competing for attention, it's hard to enter that flow state of productivity. If you experience a sense of crisis and disorientation because you can’t get to the end of that to do list, this is a course"&amp;" for you.")</f>
        <v>With a multitude of digital apps, tools, and meetings competing for attention, it's hard to enter that flow state of productivity. If you experience a sense of crisis and disorientation because you can’t get to the end of that to do list, this is a course for you.</v>
      </c>
      <c r="E78" s="24" t="str">
        <f>IFERROR(__xludf.DUMMYFUNCTION("""COMPUTED_VALUE"""),"Emotional Intelligence")</f>
        <v>Emotional Intelligence</v>
      </c>
      <c r="F78" s="10" t="str">
        <f>IFERROR(__xludf.DUMMYFUNCTION("""COMPUTED_VALUE"""),"Harvard Business Publishing - ")</f>
        <v>Harvard Business Publishing - </v>
      </c>
      <c r="G78" s="11">
        <f>IFERROR(__xludf.DUMMYFUNCTION("""COMPUTED_VALUE"""),20.0)</f>
        <v>20</v>
      </c>
      <c r="H78" s="11">
        <f>IFERROR(__xludf.DUMMYFUNCTION("""COMPUTED_VALUE"""),7.0)</f>
        <v>7</v>
      </c>
      <c r="I78" s="12" t="str">
        <f>IFERROR(__xludf.DUMMYFUNCTION("""COMPUTED_VALUE"""),"English, German")</f>
        <v>English, German</v>
      </c>
      <c r="J78" s="12" t="str">
        <f>IFERROR(__xludf.DUMMYFUNCTION("""COMPUTED_VALUE"""),"Text only")</f>
        <v>Text only</v>
      </c>
      <c r="K78" s="13">
        <f>IFERROR(__xludf.DUMMYFUNCTION("""COMPUTED_VALUE"""),45334.0)</f>
        <v>45334</v>
      </c>
      <c r="L78" s="14" t="str">
        <f>IFERROR(__xludf.DUMMYFUNCTION("""COMPUTED_VALUE"""),"https://masterplan.com/courses/entfalte-deine-produktivitat")</f>
        <v>https://masterplan.com/courses/entfalte-deine-produktivitat</v>
      </c>
    </row>
    <row r="79">
      <c r="A79" s="15" t="str">
        <f>IFERROR(__xludf.DUMMYFUNCTION("""COMPUTED_VALUE"""),"Die Kunst der Führung: das Ungewohnte meistern")</f>
        <v>Die Kunst der Führung: das Ungewohnte meistern</v>
      </c>
      <c r="B79" s="16" t="str">
        <f>IFERROR(__xludf.DUMMYFUNCTION("""COMPUTED_VALUE"""),"Mastering the Unnatural Act of Leadership")</f>
        <v>Mastering the Unnatural Act of Leadership</v>
      </c>
      <c r="C79" s="17" t="str">
        <f>IFERROR(__xludf.DUMMYFUNCTION("""COMPUTED_VALUE"""),"Executive Coach und Autorin Alisa Cohn taucht in den ""unnatürlichen Akt"" der Führung ein. Von Selbsterkenntnis und psychologischer Sicherheit bis hin zu OKRs und 360°-Feedback – dieser Kurs hilft dir auf deinem Weg, eine noch bessere Führungskraft zu we"&amp;"rden.")</f>
        <v>Executive Coach und Autorin Alisa Cohn taucht in den "unnatürlichen Akt" der Führung ein. Von Selbsterkenntnis und psychologischer Sicherheit bis hin zu OKRs und 360°-Feedback – dieser Kurs hilft dir auf deinem Weg, eine noch bessere Führungskraft zu werden.</v>
      </c>
      <c r="D79" s="17" t="str">
        <f>IFERROR(__xludf.DUMMYFUNCTION("""COMPUTED_VALUE"""),"In this course, executive coach and author Alisa Cohn dives into the unnatural act of leadership. Covering topics from self-awareness and psychological safety to OKRs and 360 feedback, this course will help you on your way to becoming a better leader.")</f>
        <v>In this course, executive coach and author Alisa Cohn dives into the unnatural act of leadership. Covering topics from self-awareness and psychological safety to OKRs and 360 feedback, this course will help you on your way to becoming a better leader.</v>
      </c>
      <c r="E79" s="26" t="str">
        <f>IFERROR(__xludf.DUMMYFUNCTION("""COMPUTED_VALUE"""),"Collaboration and Leadership")</f>
        <v>Collaboration and Leadership</v>
      </c>
      <c r="F79" s="19" t="str">
        <f>IFERROR(__xludf.DUMMYFUNCTION("""COMPUTED_VALUE"""),"Big Think - Alisa Cohn")</f>
        <v>Big Think - Alisa Cohn</v>
      </c>
      <c r="G79" s="20">
        <f>IFERROR(__xludf.DUMMYFUNCTION("""COMPUTED_VALUE"""),61.0)</f>
        <v>61</v>
      </c>
      <c r="H79" s="20">
        <f>IFERROR(__xludf.DUMMYFUNCTION("""COMPUTED_VALUE"""),31.0)</f>
        <v>31</v>
      </c>
      <c r="I79" s="21" t="str">
        <f>IFERROR(__xludf.DUMMYFUNCTION("""COMPUTED_VALUE"""),"English, German")</f>
        <v>English, German</v>
      </c>
      <c r="J79" s="21" t="str">
        <f>IFERROR(__xludf.DUMMYFUNCTION("""COMPUTED_VALUE"""),"English")</f>
        <v>English</v>
      </c>
      <c r="K79" s="22">
        <f>IFERROR(__xludf.DUMMYFUNCTION("""COMPUTED_VALUE"""),45334.0)</f>
        <v>45334</v>
      </c>
      <c r="L79" s="23" t="str">
        <f>IFERROR(__xludf.DUMMYFUNCTION("""COMPUTED_VALUE"""),"https://masterplan.com/courses/die-kunst-der-fuhrung-das-ungewohnte-meistern")</f>
        <v>https://masterplan.com/courses/die-kunst-der-fuhrung-das-ungewohnte-meistern</v>
      </c>
    </row>
    <row r="80">
      <c r="A80" s="6" t="str">
        <f>IFERROR(__xludf.DUMMYFUNCTION("""COMPUTED_VALUE"""),"Der Anwalt des Teufels")</f>
        <v>Der Anwalt des Teufels</v>
      </c>
      <c r="B80" s="7" t="str">
        <f>IFERROR(__xludf.DUMMYFUNCTION("""COMPUTED_VALUE"""),"Devil's Advocacy")</f>
        <v>Devil's Advocacy</v>
      </c>
      <c r="C80" s="8" t="str">
        <f>IFERROR(__xludf.DUMMYFUNCTION("""COMPUTED_VALUE"""),"Gibt es bei euch im Team eine Person, die die Richtung vorgibt, während sich der Rest einfach anschließt? Ein klassischer Fall des Gruppendenkens. Wie ihr dem ein Ende setzen könnt? Der Teufel weiß Rat...")</f>
        <v>Gibt es bei euch im Team eine Person, die die Richtung vorgibt, während sich der Rest einfach anschließt? Ein klassischer Fall des Gruppendenkens. Wie ihr dem ein Ende setzen könnt? Der Teufel weiß Rat...</v>
      </c>
      <c r="D80" s="8" t="str">
        <f>IFERROR(__xludf.DUMMYFUNCTION("""COMPUTED_VALUE"""),"Is there someone on your team who sets the direction and the rest just follow? It's a classic case of groupthink. How do you stop it? The devil has some advice...")</f>
        <v>Is there someone on your team who sets the direction and the rest just follow? It's a classic case of groupthink. How do you stop it? The devil has some advice...</v>
      </c>
      <c r="E80" s="26" t="str">
        <f>IFERROR(__xludf.DUMMYFUNCTION("""COMPUTED_VALUE"""),"Collaboration and Leadership")</f>
        <v>Collaboration and Leadership</v>
      </c>
      <c r="F80" s="10" t="str">
        <f>IFERROR(__xludf.DUMMYFUNCTION("""COMPUTED_VALUE"""),"Masterplan - Sabine Pickett")</f>
        <v>Masterplan - Sabine Pickett</v>
      </c>
      <c r="G80" s="11">
        <f>IFERROR(__xludf.DUMMYFUNCTION("""COMPUTED_VALUE"""),3.0)</f>
        <v>3</v>
      </c>
      <c r="H80" s="11">
        <f>IFERROR(__xludf.DUMMYFUNCTION("""COMPUTED_VALUE"""),3.0)</f>
        <v>3</v>
      </c>
      <c r="I80" s="12" t="str">
        <f>IFERROR(__xludf.DUMMYFUNCTION("""COMPUTED_VALUE"""),"English, German")</f>
        <v>English, German</v>
      </c>
      <c r="J80" s="12" t="str">
        <f>IFERROR(__xludf.DUMMYFUNCTION("""COMPUTED_VALUE"""),"English, German")</f>
        <v>English, German</v>
      </c>
      <c r="K80" s="13">
        <f>IFERROR(__xludf.DUMMYFUNCTION("""COMPUTED_VALUE"""),45322.0)</f>
        <v>45322</v>
      </c>
      <c r="L80" s="14" t="str">
        <f>IFERROR(__xludf.DUMMYFUNCTION("""COMPUTED_VALUE"""),"https://masterplan.com/courses/mp-shorts-der-anwalt-des-teufels")</f>
        <v>https://masterplan.com/courses/mp-shorts-der-anwalt-des-teufels</v>
      </c>
    </row>
    <row r="81">
      <c r="A81" s="15" t="str">
        <f>IFERROR(__xludf.DUMMYFUNCTION("""COMPUTED_VALUE"""),"5 Fragen, 1 Ziel: Strategisches Denken")</f>
        <v>5 Fragen, 1 Ziel: Strategisches Denken</v>
      </c>
      <c r="B81" s="16" t="str">
        <f>IFERROR(__xludf.DUMMYFUNCTION("""COMPUTED_VALUE"""),"5 Questions, 1 Goal: Strategic Thinking")</f>
        <v>5 Questions, 1 Goal: Strategic Thinking</v>
      </c>
      <c r="C81" s="17" t="str">
        <f>IFERROR(__xludf.DUMMYFUNCTION("""COMPUTED_VALUE"""),"Strategisches Denken hilft dir dabei, eine nachhaltige Entwicklung für dein Unternehmen sicherzustellen. Leichter gesagt als getan? Fünf Fragen helfen dir u.a. dabei,  dich vom Markt abzuheben, langfrisitg zu planen und dein Unternehmen strategisch auszur"&amp;"ichten!")</f>
        <v>Strategisches Denken hilft dir dabei, eine nachhaltige Entwicklung für dein Unternehmen sicherzustellen. Leichter gesagt als getan? Fünf Fragen helfen dir u.a. dabei,  dich vom Markt abzuheben, langfrisitg zu planen und dein Unternehmen strategisch auszurichten!</v>
      </c>
      <c r="D81" s="17" t="str">
        <f>IFERROR(__xludf.DUMMYFUNCTION("""COMPUTED_VALUE"""),"Strategic thinking helps you ensure sustainable growth for your business. Easier said than done? Five key questions will help you differentiate yourself from the market, plan for the long term and strategically align your business!")</f>
        <v>Strategic thinking helps you ensure sustainable growth for your business. Easier said than done? Five key questions will help you differentiate yourself from the market, plan for the long term and strategically align your business!</v>
      </c>
      <c r="E81" s="26" t="str">
        <f>IFERROR(__xludf.DUMMYFUNCTION("""COMPUTED_VALUE"""),"Collaboration and Leadership")</f>
        <v>Collaboration and Leadership</v>
      </c>
      <c r="F81" s="19" t="str">
        <f>IFERROR(__xludf.DUMMYFUNCTION("""COMPUTED_VALUE"""),"Harald Hungenberg")</f>
        <v>Harald Hungenberg</v>
      </c>
      <c r="G81" s="20">
        <f>IFERROR(__xludf.DUMMYFUNCTION("""COMPUTED_VALUE"""),53.0)</f>
        <v>53</v>
      </c>
      <c r="H81" s="20">
        <f>IFERROR(__xludf.DUMMYFUNCTION("""COMPUTED_VALUE"""),24.0)</f>
        <v>24</v>
      </c>
      <c r="I81" s="21" t="str">
        <f>IFERROR(__xludf.DUMMYFUNCTION("""COMPUTED_VALUE"""),"English, German")</f>
        <v>English, German</v>
      </c>
      <c r="J81" s="21" t="str">
        <f>IFERROR(__xludf.DUMMYFUNCTION("""COMPUTED_VALUE"""),"English, German")</f>
        <v>English, German</v>
      </c>
      <c r="K81" s="22">
        <f>IFERROR(__xludf.DUMMYFUNCTION("""COMPUTED_VALUE"""),45322.0)</f>
        <v>45322</v>
      </c>
      <c r="L81" s="23" t="str">
        <f>IFERROR(__xludf.DUMMYFUNCTION("""COMPUTED_VALUE"""),"https://masterplan.com/courses/5-fragen-1-ziel-strategisches-denken")</f>
        <v>https://masterplan.com/courses/5-fragen-1-ziel-strategisches-denken</v>
      </c>
    </row>
    <row r="82">
      <c r="A82" s="6" t="str">
        <f>IFERROR(__xludf.DUMMYFUNCTION("""COMPUTED_VALUE"""),"Bessere Entscheidungen Dank AI")</f>
        <v>Bessere Entscheidungen Dank AI</v>
      </c>
      <c r="B82" s="7" t="str">
        <f>IFERROR(__xludf.DUMMYFUNCTION("""COMPUTED_VALUE"""),"Using AI to Make Better Decisions")</f>
        <v>Using AI to Make Better Decisions</v>
      </c>
      <c r="C82" s="8" t="str">
        <f>IFERROR(__xludf.DUMMYFUNCTION("""COMPUTED_VALUE"""),"Findest du, du kannst gut Entscheidungen treffen? Wir sind leider oft nicht so gut darin, Entscheidungen oder Vorhersagen zu treffen, wie wir denken. Dieser Kurs untersucht, wie KI dich im Entscheidungsprozess unterstützen kann und wo du lieber vorsichtig"&amp;" sein solltest.")</f>
        <v>Findest du, du kannst gut Entscheidungen treffen? Wir sind leider oft nicht so gut darin, Entscheidungen oder Vorhersagen zu treffen, wie wir denken. Dieser Kurs untersucht, wie KI dich im Entscheidungsprozess unterstützen kann und wo du lieber vorsichtig sein solltest.</v>
      </c>
      <c r="D82" s="8" t="str">
        <f>IFERROR(__xludf.DUMMYFUNCTION("""COMPUTED_VALUE"""),"Do you consider yourself a good decision maker? Unfortunately we're generally not as good at making decions or predictions as we think. This course examines what AI can do to support you throughout the decision making process and where you might have to w"&amp;"eary of it.")</f>
        <v>Do you consider yourself a good decision maker? Unfortunately we're generally not as good at making decions or predictions as we think. This course examines what AI can do to support you throughout the decision making process and where you might have to weary of it.</v>
      </c>
      <c r="E82" s="26" t="str">
        <f>IFERROR(__xludf.DUMMYFUNCTION("""COMPUTED_VALUE"""),"Collaboration and Leadership")</f>
        <v>Collaboration and Leadership</v>
      </c>
      <c r="F82" s="10" t="str">
        <f>IFERROR(__xludf.DUMMYFUNCTION("""COMPUTED_VALUE"""),"Harvard Business Publishing - ")</f>
        <v>Harvard Business Publishing - </v>
      </c>
      <c r="G82" s="11">
        <f>IFERROR(__xludf.DUMMYFUNCTION("""COMPUTED_VALUE"""),38.0)</f>
        <v>38</v>
      </c>
      <c r="H82" s="11">
        <f>IFERROR(__xludf.DUMMYFUNCTION("""COMPUTED_VALUE"""),10.0)</f>
        <v>10</v>
      </c>
      <c r="I82" s="12" t="str">
        <f>IFERROR(__xludf.DUMMYFUNCTION("""COMPUTED_VALUE"""),"English, German")</f>
        <v>English, German</v>
      </c>
      <c r="J82" s="12" t="str">
        <f>IFERROR(__xludf.DUMMYFUNCTION("""COMPUTED_VALUE"""),"Text only")</f>
        <v>Text only</v>
      </c>
      <c r="K82" s="13">
        <f>IFERROR(__xludf.DUMMYFUNCTION("""COMPUTED_VALUE"""),45321.0)</f>
        <v>45321</v>
      </c>
      <c r="L82" s="14" t="str">
        <f>IFERROR(__xludf.DUMMYFUNCTION("""COMPUTED_VALUE"""),"https://masterplan.com/courses/bessere-entscheidungen-dank-ai")</f>
        <v>https://masterplan.com/courses/bessere-entscheidungen-dank-ai</v>
      </c>
    </row>
    <row r="83">
      <c r="A83" s="15" t="str">
        <f>IFERROR(__xludf.DUMMYFUNCTION("""COMPUTED_VALUE"""),"Innovationsmotor Kreativität: Strategien für den Weg zum Erfolg")</f>
        <v>Innovationsmotor Kreativität: Strategien für den Weg zum Erfolg</v>
      </c>
      <c r="B83" s="16" t="str">
        <f>IFERROR(__xludf.DUMMYFUNCTION("""COMPUTED_VALUE"""),"Operationalizing Creativity for Organizational Success")</f>
        <v>Operationalizing Creativity for Organizational Success</v>
      </c>
      <c r="C83" s="17" t="str">
        <f>IFERROR(__xludf.DUMMYFUNCTION("""COMPUTED_VALUE"""),"Lerne von Natalie Nixon, Kreativitätsstrategin und Autorin, die Bedeutung von Kreativität kennen! Frei nach dem Motto 'Kreativität ist kein nettes Extra, sondern ein Muss', geht es um Staunen, Gründlichkeit, kritisches Hinterfragen, Intuition und kreative"&amp;" Intelligenz.")</f>
        <v>Lerne von Natalie Nixon, Kreativitätsstrategin und Autorin, die Bedeutung von Kreativität kennen! Frei nach dem Motto 'Kreativität ist kein nettes Extra, sondern ein Muss', geht es um Staunen, Gründlichkeit, kritisches Hinterfragen, Intuition und kreative Intelligenz.</v>
      </c>
      <c r="D83" s="17" t="str">
        <f>IFERROR(__xludf.DUMMYFUNCTION("""COMPUTED_VALUE"""),"Discover the essential role of creativity with creativity strategist and author Natalie Nixon! Guided by the mantra ""Creativity is not a nice to have, it’s a must have,"" delve into wonder, rigor, questioning, intuition, and Creative Intelligence. ")</f>
        <v>Discover the essential role of creativity with creativity strategist and author Natalie Nixon! Guided by the mantra "Creativity is not a nice to have, it’s a must have," delve into wonder, rigor, questioning, intuition, and Creative Intelligence. </v>
      </c>
      <c r="E83" s="18" t="str">
        <f>IFERROR(__xludf.DUMMYFUNCTION("""COMPUTED_VALUE"""),"Creativity and Innovation")</f>
        <v>Creativity and Innovation</v>
      </c>
      <c r="F83" s="19" t="str">
        <f>IFERROR(__xludf.DUMMYFUNCTION("""COMPUTED_VALUE"""),"Big Think - Dr. Natalie Nixon")</f>
        <v>Big Think - Dr. Natalie Nixon</v>
      </c>
      <c r="G83" s="20">
        <f>IFERROR(__xludf.DUMMYFUNCTION("""COMPUTED_VALUE"""),61.0)</f>
        <v>61</v>
      </c>
      <c r="H83" s="20">
        <f>IFERROR(__xludf.DUMMYFUNCTION("""COMPUTED_VALUE"""),30.0)</f>
        <v>30</v>
      </c>
      <c r="I83" s="21" t="str">
        <f>IFERROR(__xludf.DUMMYFUNCTION("""COMPUTED_VALUE"""),"English, German")</f>
        <v>English, German</v>
      </c>
      <c r="J83" s="21" t="str">
        <f>IFERROR(__xludf.DUMMYFUNCTION("""COMPUTED_VALUE"""),"English")</f>
        <v>English</v>
      </c>
      <c r="K83" s="22">
        <f>IFERROR(__xludf.DUMMYFUNCTION("""COMPUTED_VALUE"""),45321.0)</f>
        <v>45321</v>
      </c>
      <c r="L83" s="23" t="str">
        <f>IFERROR(__xludf.DUMMYFUNCTION("""COMPUTED_VALUE"""),"https://masterplan.com/courses/innovationsmotor-kreativitat-strategien-fur-den-weg-zum-erfolg")</f>
        <v>https://masterplan.com/courses/innovationsmotor-kreativitat-strategien-fur-den-weg-zum-erfolg</v>
      </c>
    </row>
    <row r="84">
      <c r="A84" s="6" t="str">
        <f>IFERROR(__xludf.DUMMYFUNCTION("""COMPUTED_VALUE"""),"Verstehen, verhandeln, versöhnen: Emotionale Konflikte meistern")</f>
        <v>Verstehen, verhandeln, versöhnen: Emotionale Konflikte meistern</v>
      </c>
      <c r="B84" s="7" t="str">
        <f>IFERROR(__xludf.DUMMYFUNCTION("""COMPUTED_VALUE"""),"Navigating Emotionally Charged Conflicts")</f>
        <v>Navigating Emotionally Charged Conflicts</v>
      </c>
      <c r="C84" s="8" t="str">
        <f>IFERROR(__xludf.DUMMYFUNCTION("""COMPUTED_VALUE"""),"Lerne mit emotional aufgeladenen Konflikten umzugehen! Dan Shapiro zeigt dir, wie du den Kreislauf der Zwietracht durchbrichst und mit Empathie verhandelt. Das Ergebnis? Strategisch verbesserte Pläne, wiederhergestellte Beziehungen und ein besseres Konfli"&amp;"ktmanagment!")</f>
        <v>Lerne mit emotional aufgeladenen Konflikten umzugehen! Dan Shapiro zeigt dir, wie du den Kreislauf der Zwietracht durchbrichst und mit Empathie verhandelt. Das Ergebnis? Strategisch verbesserte Pläne, wiederhergestellte Beziehungen und ein besseres Konfliktmanagment!</v>
      </c>
      <c r="D84" s="8" t="str">
        <f>IFERROR(__xludf.DUMMYFUNCTION("""COMPUTED_VALUE"""),"Unlock the art of navigating emotionally charged conflicts! Learn to interrupt divisive thinking, break discord cycles, and negotiate with empathy. Dan Shapiro shows how to strategically enhance plans, repair relationships, and elevate conflict resolution"&amp;" skills! ")</f>
        <v>Unlock the art of navigating emotionally charged conflicts! Learn to interrupt divisive thinking, break discord cycles, and negotiate with empathy. Dan Shapiro shows how to strategically enhance plans, repair relationships, and elevate conflict resolution skills! </v>
      </c>
      <c r="E84" s="28" t="str">
        <f>IFERROR(__xludf.DUMMYFUNCTION("""COMPUTED_VALUE"""),"Communication")</f>
        <v>Communication</v>
      </c>
      <c r="F84" s="10" t="str">
        <f>IFERROR(__xludf.DUMMYFUNCTION("""COMPUTED_VALUE"""),"Big Think - Daniel Shapiro")</f>
        <v>Big Think - Daniel Shapiro</v>
      </c>
      <c r="G84" s="11">
        <f>IFERROR(__xludf.DUMMYFUNCTION("""COMPUTED_VALUE"""),59.0)</f>
        <v>59</v>
      </c>
      <c r="H84" s="11">
        <f>IFERROR(__xludf.DUMMYFUNCTION("""COMPUTED_VALUE"""),27.0)</f>
        <v>27</v>
      </c>
      <c r="I84" s="12" t="str">
        <f>IFERROR(__xludf.DUMMYFUNCTION("""COMPUTED_VALUE"""),"English, German")</f>
        <v>English, German</v>
      </c>
      <c r="J84" s="12" t="str">
        <f>IFERROR(__xludf.DUMMYFUNCTION("""COMPUTED_VALUE"""),"English")</f>
        <v>English</v>
      </c>
      <c r="K84" s="13">
        <f>IFERROR(__xludf.DUMMYFUNCTION("""COMPUTED_VALUE"""),45321.0)</f>
        <v>45321</v>
      </c>
      <c r="L84" s="14" t="str">
        <f>IFERROR(__xludf.DUMMYFUNCTION("""COMPUTED_VALUE"""),"https://masterplan.com/courses/verstehen-verhandeln-versohnen-emotionale-konflikte-meistern")</f>
        <v>https://masterplan.com/courses/verstehen-verhandeln-versohnen-emotionale-konflikte-meistern</v>
      </c>
    </row>
    <row r="85">
      <c r="A85" s="15" t="str">
        <f>IFERROR(__xludf.DUMMYFUNCTION("""COMPUTED_VALUE"""),"Diversität im Einstellungsprozess")</f>
        <v>Diversität im Einstellungsprozess</v>
      </c>
      <c r="B85" s="16" t="str">
        <f>IFERROR(__xludf.DUMMYFUNCTION("""COMPUTED_VALUE"""),"Diversity in Hiring")</f>
        <v>Diversity in Hiring</v>
      </c>
      <c r="C85" s="17" t="str">
        <f>IFERROR(__xludf.DUMMYFUNCTION("""COMPUTED_VALUE"""),"""Biases und die Angst vor Veränderung - beim Thema ""Diversität und Personalbeschaffung"" gibt`s noch einige Hürden. Dieser Kurs zeigt dir, wie du sie aus dem Weg räumst und wie dir ein proaktiver Ansatz dabei hilft!""")</f>
        <v>"Biases und die Angst vor Veränderung - beim Thema "Diversität und Personalbeschaffung" gibt`s noch einige Hürden. Dieser Kurs zeigt dir, wie du sie aus dem Weg räumst und wie dir ein proaktiver Ansatz dabei hilft!"</v>
      </c>
      <c r="D85" s="17" t="str">
        <f>IFERROR(__xludf.DUMMYFUNCTION("""COMPUTED_VALUE"""),"Biases and the fear of change - there are still a few hurdles when it comes to diversity and recruitment. This course shows you how to overcome them and how a proactive approach can help you!")</f>
        <v>Biases and the fear of change - there are still a few hurdles when it comes to diversity and recruitment. This course shows you how to overcome them and how a proactive approach can help you!</v>
      </c>
      <c r="E85" s="9" t="str">
        <f>IFERROR(__xludf.DUMMYFUNCTION("""COMPUTED_VALUE"""),"Global Citizenship")</f>
        <v>Global Citizenship</v>
      </c>
      <c r="F85" s="19" t="str">
        <f>IFERROR(__xludf.DUMMYFUNCTION("""COMPUTED_VALUE"""),"Harvard Business Publishing - ")</f>
        <v>Harvard Business Publishing - </v>
      </c>
      <c r="G85" s="20">
        <f>IFERROR(__xludf.DUMMYFUNCTION("""COMPUTED_VALUE"""),14.0)</f>
        <v>14</v>
      </c>
      <c r="H85" s="20">
        <f>IFERROR(__xludf.DUMMYFUNCTION("""COMPUTED_VALUE"""),6.0)</f>
        <v>6</v>
      </c>
      <c r="I85" s="21" t="str">
        <f>IFERROR(__xludf.DUMMYFUNCTION("""COMPUTED_VALUE"""),"English, German")</f>
        <v>English, German</v>
      </c>
      <c r="J85" s="21" t="str">
        <f>IFERROR(__xludf.DUMMYFUNCTION("""COMPUTED_VALUE"""),"English")</f>
        <v>English</v>
      </c>
      <c r="K85" s="22">
        <f>IFERROR(__xludf.DUMMYFUNCTION("""COMPUTED_VALUE"""),45321.0)</f>
        <v>45321</v>
      </c>
      <c r="L85" s="23" t="str">
        <f>IFERROR(__xludf.DUMMYFUNCTION("""COMPUTED_VALUE"""),"https://masterplan.com/courses/diversitat-im-einstellungsprozess")</f>
        <v>https://masterplan.com/courses/diversitat-im-einstellungsprozess</v>
      </c>
    </row>
    <row r="86">
      <c r="A86" s="6" t="str">
        <f>IFERROR(__xludf.DUMMYFUNCTION("""COMPUTED_VALUE"""),"Diversität in Unternehmen gezielt fördern")</f>
        <v>Diversität in Unternehmen gezielt fördern</v>
      </c>
      <c r="B86" s="7" t="str">
        <f>IFERROR(__xludf.DUMMYFUNCTION("""COMPUTED_VALUE"""),"Promoting Diversity in Companies")</f>
        <v>Promoting Diversity in Companies</v>
      </c>
      <c r="C86" s="8" t="str">
        <f>IFERROR(__xludf.DUMMYFUNCTION("""COMPUTED_VALUE"""),"Studien belegen, dass Diversität erheblich zum Erfolg eines Unternehmens beiträgt. Die gleichen Studien zeigen aber auch, dass viele Diversity-Schulungen scheitern. Welche Möglichkeiten bleiben, um Vielfalt im Unternehmen gezielt zu fördern?")</f>
        <v>Studien belegen, dass Diversität erheblich zum Erfolg eines Unternehmens beiträgt. Die gleichen Studien zeigen aber auch, dass viele Diversity-Schulungen scheitern. Welche Möglichkeiten bleiben, um Vielfalt im Unternehmen gezielt zu fördern?</v>
      </c>
      <c r="D86" s="8" t="str">
        <f>IFERROR(__xludf.DUMMYFUNCTION("""COMPUTED_VALUE"""),"Research shows that diversity significantly contributes to a company's success. However, the same studies reveal many diversity trainings fail. What are the effective ways to actively promote diversity in the workplace?")</f>
        <v>Research shows that diversity significantly contributes to a company's success. However, the same studies reveal many diversity trainings fail. What are the effective ways to actively promote diversity in the workplace?</v>
      </c>
      <c r="E86" s="9" t="str">
        <f>IFERROR(__xludf.DUMMYFUNCTION("""COMPUTED_VALUE"""),"Global Citizenship")</f>
        <v>Global Citizenship</v>
      </c>
      <c r="F86" s="10" t="str">
        <f>IFERROR(__xludf.DUMMYFUNCTION("""COMPUTED_VALUE"""),"Harvard Business Publishing - ")</f>
        <v>Harvard Business Publishing - </v>
      </c>
      <c r="G86" s="11">
        <f>IFERROR(__xludf.DUMMYFUNCTION("""COMPUTED_VALUE"""),52.0)</f>
        <v>52</v>
      </c>
      <c r="H86" s="11">
        <f>IFERROR(__xludf.DUMMYFUNCTION("""COMPUTED_VALUE"""),18.0)</f>
        <v>18</v>
      </c>
      <c r="I86" s="12" t="str">
        <f>IFERROR(__xludf.DUMMYFUNCTION("""COMPUTED_VALUE"""),"English, German")</f>
        <v>English, German</v>
      </c>
      <c r="J86" s="12" t="str">
        <f>IFERROR(__xludf.DUMMYFUNCTION("""COMPUTED_VALUE"""),"Text only")</f>
        <v>Text only</v>
      </c>
      <c r="K86" s="13">
        <f>IFERROR(__xludf.DUMMYFUNCTION("""COMPUTED_VALUE"""),45320.0)</f>
        <v>45320</v>
      </c>
      <c r="L86" s="14" t="str">
        <f>IFERROR(__xludf.DUMMYFUNCTION("""COMPUTED_VALUE"""),"https://masterplan.com/courses/diversitat-in-unternehmen-gezielt-fordern")</f>
        <v>https://masterplan.com/courses/diversitat-in-unternehmen-gezielt-fordern</v>
      </c>
    </row>
    <row r="87">
      <c r="A87" s="15" t="str">
        <f>IFERROR(__xludf.DUMMYFUNCTION("""COMPUTED_VALUE"""),"Veränderung als Chance")</f>
        <v>Veränderung als Chance</v>
      </c>
      <c r="B87" s="16" t="str">
        <f>IFERROR(__xludf.DUMMYFUNCTION("""COMPUTED_VALUE"""),"Facing Change with Enthusiasmh")</f>
        <v>Facing Change with Enthusiasmh</v>
      </c>
      <c r="C87" s="17" t="str">
        <f>IFERROR(__xludf.DUMMYFUNCTION("""COMPUTED_VALUE"""),"Emotionen sind starke körperliche Signale, die du nicht ignorieren, sondern versuchen solltest zu verstehen. Cassandra Worthy zeigt dir, wie du Angst und Unsicherheit in Chancen verwandelst und damit Veränderungsprozessen im Unternehmen selbstbewusst bege"&amp;"gnest.")</f>
        <v>Emotionen sind starke körperliche Signale, die du nicht ignorieren, sondern versuchen solltest zu verstehen. Cassandra Worthy zeigt dir, wie du Angst und Unsicherheit in Chancen verwandelst und damit Veränderungsprozessen im Unternehmen selbstbewusst begegnest.</v>
      </c>
      <c r="D87" s="17" t="str">
        <f>IFERROR(__xludf.DUMMYFUNCTION("""COMPUTED_VALUE"""),"Emotions are contagious. They are also powerful signals we should be able to read and understand. Cassandra Worthy teaches us how to transform the fear and insecurity that change can bring into our organization into opportunities. ")</f>
        <v>Emotions are contagious. They are also powerful signals we should be able to read and understand. Cassandra Worthy teaches us how to transform the fear and insecurity that change can bring into our organization into opportunities. </v>
      </c>
      <c r="E87" s="24" t="str">
        <f>IFERROR(__xludf.DUMMYFUNCTION("""COMPUTED_VALUE"""),"Emotional Intelligence")</f>
        <v>Emotional Intelligence</v>
      </c>
      <c r="F87" s="19" t="str">
        <f>IFERROR(__xludf.DUMMYFUNCTION("""COMPUTED_VALUE"""),"Big Think - Cassandra Worthy")</f>
        <v>Big Think - Cassandra Worthy</v>
      </c>
      <c r="G87" s="20">
        <f>IFERROR(__xludf.DUMMYFUNCTION("""COMPUTED_VALUE"""),51.0)</f>
        <v>51</v>
      </c>
      <c r="H87" s="20">
        <f>IFERROR(__xludf.DUMMYFUNCTION("""COMPUTED_VALUE"""),25.0)</f>
        <v>25</v>
      </c>
      <c r="I87" s="21" t="str">
        <f>IFERROR(__xludf.DUMMYFUNCTION("""COMPUTED_VALUE"""),"English, German")</f>
        <v>English, German</v>
      </c>
      <c r="J87" s="21" t="str">
        <f>IFERROR(__xludf.DUMMYFUNCTION("""COMPUTED_VALUE"""),"English")</f>
        <v>English</v>
      </c>
      <c r="K87" s="22">
        <f>IFERROR(__xludf.DUMMYFUNCTION("""COMPUTED_VALUE"""),45314.0)</f>
        <v>45314</v>
      </c>
      <c r="L87" s="23" t="str">
        <f>IFERROR(__xludf.DUMMYFUNCTION("""COMPUTED_VALUE"""),"https://masterplan.com/courses/veranderung-als-chance")</f>
        <v>https://masterplan.com/courses/veranderung-als-chance</v>
      </c>
    </row>
    <row r="88">
      <c r="A88" s="6" t="str">
        <f>IFERROR(__xludf.DUMMYFUNCTION("""COMPUTED_VALUE"""),"Kreativität &amp; Konzentration: ADT im Berufsleben managen")</f>
        <v>Kreativität &amp; Konzentration: ADT im Berufsleben managen</v>
      </c>
      <c r="B88" s="7" t="str">
        <f>IFERROR(__xludf.DUMMYFUNCTION("""COMPUTED_VALUE"""),"Inclusive Minds: Navigating ADT for Employee Support")</f>
        <v>Inclusive Minds: Navigating ADT for Employee Support</v>
      </c>
      <c r="C88" s="8" t="str">
        <f>IFERROR(__xludf.DUMMYFUNCTION("""COMPUTED_VALUE"""),"Aufmerksamkeitsdefizit betrifft sowohl Führungskräfte als auch Mitarbeitende. Erforsche den gemeinsamen Kampf gegen innere Unruhe und erfahre, wie kollaborative Bemühungen, die Konzentration und Leistung am Arbeitsplatz steigern können.")</f>
        <v>Aufmerksamkeitsdefizit betrifft sowohl Führungskräfte als auch Mitarbeitende. Erforsche den gemeinsamen Kampf gegen innere Unruhe und erfahre, wie kollaborative Bemühungen, die Konzentration und Leistung am Arbeitsplatz steigern können.</v>
      </c>
      <c r="D88" s="8" t="str">
        <f>IFERROR(__xludf.DUMMYFUNCTION("""COMPUTED_VALUE"""),"Attention Deficit Trait (ADT) affects managers and employees. Discover the common fight against distraction and inner restlessness. Explore how collaborative efforts can manage priorities, improve focus and strengthen the workplace against the challenges "&amp;"of ADT.")</f>
        <v>Attention Deficit Trait (ADT) affects managers and employees. Discover the common fight against distraction and inner restlessness. Explore how collaborative efforts can manage priorities, improve focus and strengthen the workplace against the challenges of ADT.</v>
      </c>
      <c r="E88" s="9" t="str">
        <f>IFERROR(__xludf.DUMMYFUNCTION("""COMPUTED_VALUE"""),"Global Citizenship")</f>
        <v>Global Citizenship</v>
      </c>
      <c r="F88" s="10" t="str">
        <f>IFERROR(__xludf.DUMMYFUNCTION("""COMPUTED_VALUE"""),"Harvard Business Publishing - ")</f>
        <v>Harvard Business Publishing - </v>
      </c>
      <c r="G88" s="11">
        <f>IFERROR(__xludf.DUMMYFUNCTION("""COMPUTED_VALUE"""),35.0)</f>
        <v>35</v>
      </c>
      <c r="H88" s="11">
        <f>IFERROR(__xludf.DUMMYFUNCTION("""COMPUTED_VALUE"""),13.0)</f>
        <v>13</v>
      </c>
      <c r="I88" s="12" t="str">
        <f>IFERROR(__xludf.DUMMYFUNCTION("""COMPUTED_VALUE"""),"English, German")</f>
        <v>English, German</v>
      </c>
      <c r="J88" s="12" t="str">
        <f>IFERROR(__xludf.DUMMYFUNCTION("""COMPUTED_VALUE"""),"Text only")</f>
        <v>Text only</v>
      </c>
      <c r="K88" s="13">
        <f>IFERROR(__xludf.DUMMYFUNCTION("""COMPUTED_VALUE"""),45313.0)</f>
        <v>45313</v>
      </c>
      <c r="L88" s="14" t="str">
        <f>IFERROR(__xludf.DUMMYFUNCTION("""COMPUTED_VALUE"""),"https://masterplan.com/courses/kreativitat-konzentration-adt-im-berufsleben-managen")</f>
        <v>https://masterplan.com/courses/kreativitat-konzentration-adt-im-berufsleben-managen</v>
      </c>
    </row>
    <row r="89">
      <c r="A89" s="15" t="str">
        <f>IFERROR(__xludf.DUMMYFUNCTION("""COMPUTED_VALUE"""),"Förderung für den Erfolg: Mitarbeitende gezielt schulen")</f>
        <v>Förderung für den Erfolg: Mitarbeitende gezielt schulen</v>
      </c>
      <c r="B89" s="16" t="str">
        <f>IFERROR(__xludf.DUMMYFUNCTION("""COMPUTED_VALUE"""),"Fostering Success: Targeted Training for Employees")</f>
        <v>Fostering Success: Targeted Training for Employees</v>
      </c>
      <c r="C89" s="17" t="str">
        <f>IFERROR(__xludf.DUMMYFUNCTION("""COMPUTED_VALUE"""),"Schulungen in Unternehmen sind teuer und liefern keine Ergebnisse - stimmt das? Nein, und diese vier Case-Studies zeigen warum! Erfahre, wie Unternehmen mittels Schulungen unternehmerischem Wandel umsetzen, Mitarbeitende unterstützen und Inklusion erfolgr"&amp;"eich leben.")</f>
        <v>Schulungen in Unternehmen sind teuer und liefern keine Ergebnisse - stimmt das? Nein, und diese vier Case-Studies zeigen warum! Erfahre, wie Unternehmen mittels Schulungen unternehmerischem Wandel umsetzen, Mitarbeitende unterstützen und Inklusion erfolgreich leben.</v>
      </c>
      <c r="D89" s="17" t="str">
        <f>IFERROR(__xludf.DUMMYFUNCTION("""COMPUTED_VALUE"""),"Corporate training is costly and ineffective - is that true? No, and these four case studies prove why! Discover how companies use training to drive business change, support employees, and successfully embrace inclusion.")</f>
        <v>Corporate training is costly and ineffective - is that true? No, and these four case studies prove why! Discover how companies use training to drive business change, support employees, and successfully embrace inclusion.</v>
      </c>
      <c r="E89" s="9" t="str">
        <f>IFERROR(__xludf.DUMMYFUNCTION("""COMPUTED_VALUE"""),"Global Citizenship")</f>
        <v>Global Citizenship</v>
      </c>
      <c r="F89" s="19" t="str">
        <f>IFERROR(__xludf.DUMMYFUNCTION("""COMPUTED_VALUE"""),"Harvard Business Publishing - ")</f>
        <v>Harvard Business Publishing - </v>
      </c>
      <c r="G89" s="20">
        <f>IFERROR(__xludf.DUMMYFUNCTION("""COMPUTED_VALUE"""),56.0)</f>
        <v>56</v>
      </c>
      <c r="H89" s="20">
        <f>IFERROR(__xludf.DUMMYFUNCTION("""COMPUTED_VALUE"""),14.0)</f>
        <v>14</v>
      </c>
      <c r="I89" s="21" t="str">
        <f>IFERROR(__xludf.DUMMYFUNCTION("""COMPUTED_VALUE"""),"English, German")</f>
        <v>English, German</v>
      </c>
      <c r="J89" s="21" t="str">
        <f>IFERROR(__xludf.DUMMYFUNCTION("""COMPUTED_VALUE"""),"Text only")</f>
        <v>Text only</v>
      </c>
      <c r="K89" s="22">
        <f>IFERROR(__xludf.DUMMYFUNCTION("""COMPUTED_VALUE"""),45310.0)</f>
        <v>45310</v>
      </c>
      <c r="L89" s="23" t="str">
        <f>IFERROR(__xludf.DUMMYFUNCTION("""COMPUTED_VALUE"""),"https://masterplan.com/courses/forderung-fur-den-erfolg-mitarbeitende-gezielt-schulen")</f>
        <v>https://masterplan.com/courses/forderung-fur-den-erfolg-mitarbeitende-gezielt-schulen</v>
      </c>
    </row>
    <row r="90">
      <c r="A90" s="6" t="str">
        <f>IFERROR(__xludf.DUMMYFUNCTION("""COMPUTED_VALUE"""),"Tech-Adoption: Von der Herausforderung zum Erfolg")</f>
        <v>Tech-Adoption: Von der Herausforderung zum Erfolg</v>
      </c>
      <c r="B90" s="7" t="str">
        <f>IFERROR(__xludf.DUMMYFUNCTION("""COMPUTED_VALUE"""),"Strategic Tech Adoption for Success")</f>
        <v>Strategic Tech Adoption for Success</v>
      </c>
      <c r="C90" s="8" t="str">
        <f>IFERROR(__xludf.DUMMYFUNCTION("""COMPUTED_VALUE"""),"Willst du die Komplexität von Tech-Herausforderungen meistern? Lerne, Technik nahtlos zu integrieren und dabei die Mitarbeiterzufriedenheit zu priorisieren. Entdecke Strategien für Technologieauswahl und Innovationshürden. Bereit, die Tech-Welt zu erobern"&amp;"?")</f>
        <v>Willst du die Komplexität von Tech-Herausforderungen meistern? Lerne, Technik nahtlos zu integrieren und dabei die Mitarbeiterzufriedenheit zu priorisieren. Entdecke Strategien für Technologieauswahl und Innovationshürden. Bereit, die Tech-Welt zu erobern?</v>
      </c>
      <c r="D90" s="8" t="str">
        <f>IFERROR(__xludf.DUMMYFUNCTION("""COMPUTED_VALUE"""),"Ever wondered how to navigate the complexities of tech challenges? Explore seamless tech integration, prioritizing employee satisfaction. Discover effective strategies for tech selection and overcoming innovation hurdles. Ready to conquer the evolving tec"&amp;"h landscape?")</f>
        <v>Ever wondered how to navigate the complexities of tech challenges? Explore seamless tech integration, prioritizing employee satisfaction. Discover effective strategies for tech selection and overcoming innovation hurdles. Ready to conquer the evolving tech landscape?</v>
      </c>
      <c r="E90" s="26" t="str">
        <f>IFERROR(__xludf.DUMMYFUNCTION("""COMPUTED_VALUE"""),"Collaboration and Leadership")</f>
        <v>Collaboration and Leadership</v>
      </c>
      <c r="F90" s="10" t="str">
        <f>IFERROR(__xludf.DUMMYFUNCTION("""COMPUTED_VALUE"""),"Harvard Business Publishing - ")</f>
        <v>Harvard Business Publishing - </v>
      </c>
      <c r="G90" s="11">
        <f>IFERROR(__xludf.DUMMYFUNCTION("""COMPUTED_VALUE"""),24.0)</f>
        <v>24</v>
      </c>
      <c r="H90" s="11">
        <f>IFERROR(__xludf.DUMMYFUNCTION("""COMPUTED_VALUE"""),7.0)</f>
        <v>7</v>
      </c>
      <c r="I90" s="12" t="str">
        <f>IFERROR(__xludf.DUMMYFUNCTION("""COMPUTED_VALUE"""),"English, German")</f>
        <v>English, German</v>
      </c>
      <c r="J90" s="12" t="str">
        <f>IFERROR(__xludf.DUMMYFUNCTION("""COMPUTED_VALUE"""),"Text only")</f>
        <v>Text only</v>
      </c>
      <c r="K90" s="13">
        <f>IFERROR(__xludf.DUMMYFUNCTION("""COMPUTED_VALUE"""),45309.0)</f>
        <v>45309</v>
      </c>
      <c r="L90" s="14" t="str">
        <f>IFERROR(__xludf.DUMMYFUNCTION("""COMPUTED_VALUE"""),"https://masterplan.com/courses/tech-adoption-von-der-herausforderung-zum-erfolg")</f>
        <v>https://masterplan.com/courses/tech-adoption-von-der-herausforderung-zum-erfolg</v>
      </c>
    </row>
    <row r="91">
      <c r="A91" s="15" t="str">
        <f>IFERROR(__xludf.DUMMYFUNCTION("""COMPUTED_VALUE"""),"Diversität als Erfolgsstrategie")</f>
        <v>Diversität als Erfolgsstrategie</v>
      </c>
      <c r="B91" s="16" t="str">
        <f>IFERROR(__xludf.DUMMYFUNCTION("""COMPUTED_VALUE"""),"Diversity as Strategy")</f>
        <v>Diversity as Strategy</v>
      </c>
      <c r="C91" s="17" t="str">
        <f>IFERROR(__xludf.DUMMYFUNCTION("""COMPUTED_VALUE"""),"Angenommen jeder Mitarbeitende hätte dieselben Erfahrungen, Fähigkeiten und Meinungen – Innovation und Kreativität würden leiden. Zukunftsorientierte Unternehmen erkennen die strategische Bedeutung von Diversität im Team. In diesem Kurs teilt IBM spannend"&amp;"e Einblicke...")</f>
        <v>Angenommen jeder Mitarbeitende hätte dieselben Erfahrungen, Fähigkeiten und Meinungen – Innovation und Kreativität würden leiden. Zukunftsorientierte Unternehmen erkennen die strategische Bedeutung von Diversität im Team. In diesem Kurs teilt IBM spannende Einblicke...</v>
      </c>
      <c r="D91" s="17" t="str">
        <f>IFERROR(__xludf.DUMMYFUNCTION("""COMPUTED_VALUE"""),"Imagine if every employee shared identical experiences, skills, and opinions – innovation and creativity would suffer. Forward-thinking companies recognize the strategic importance of embracing workforce diversity. In this course IBM shares some interesti"&amp;"ng insights...")</f>
        <v>Imagine if every employee shared identical experiences, skills, and opinions – innovation and creativity would suffer. Forward-thinking companies recognize the strategic importance of embracing workforce diversity. In this course IBM shares some interesting insights...</v>
      </c>
      <c r="E91" s="9" t="str">
        <f>IFERROR(__xludf.DUMMYFUNCTION("""COMPUTED_VALUE"""),"Global Citizenship")</f>
        <v>Global Citizenship</v>
      </c>
      <c r="F91" s="19" t="str">
        <f>IFERROR(__xludf.DUMMYFUNCTION("""COMPUTED_VALUE"""),"Harvard Business Publishing - ")</f>
        <v>Harvard Business Publishing - </v>
      </c>
      <c r="G91" s="20">
        <f>IFERROR(__xludf.DUMMYFUNCTION("""COMPUTED_VALUE"""),61.0)</f>
        <v>61</v>
      </c>
      <c r="H91" s="20">
        <f>IFERROR(__xludf.DUMMYFUNCTION("""COMPUTED_VALUE"""),12.0)</f>
        <v>12</v>
      </c>
      <c r="I91" s="21" t="str">
        <f>IFERROR(__xludf.DUMMYFUNCTION("""COMPUTED_VALUE"""),"English, German")</f>
        <v>English, German</v>
      </c>
      <c r="J91" s="21" t="str">
        <f>IFERROR(__xludf.DUMMYFUNCTION("""COMPUTED_VALUE"""),"English")</f>
        <v>English</v>
      </c>
      <c r="K91" s="22">
        <f>IFERROR(__xludf.DUMMYFUNCTION("""COMPUTED_VALUE"""),45309.0)</f>
        <v>45309</v>
      </c>
      <c r="L91" s="23" t="str">
        <f>IFERROR(__xludf.DUMMYFUNCTION("""COMPUTED_VALUE"""),"https://masterplan.com/courses/diversitat-als-erfolgsstrategie")</f>
        <v>https://masterplan.com/courses/diversitat-als-erfolgsstrategie</v>
      </c>
    </row>
    <row r="92">
      <c r="A92" s="6" t="str">
        <f>IFERROR(__xludf.DUMMYFUNCTION("""COMPUTED_VALUE"""),"Die 4 Dimensionen erfolgreicher Führung")</f>
        <v>Die 4 Dimensionen erfolgreicher Führung</v>
      </c>
      <c r="B92" s="7" t="str">
        <f>IFERROR(__xludf.DUMMYFUNCTION("""COMPUTED_VALUE"""),"Shifting Into the 4 Dimensions of Leadership")</f>
        <v>Shifting Into the 4 Dimensions of Leadership</v>
      </c>
      <c r="C92" s="8" t="str">
        <f>IFERROR(__xludf.DUMMYFUNCTION("""COMPUTED_VALUE"""),"„Führungskräfte sind dann am besten, wenn sie aus ihren tiefsten Werten und Instinkten heraus handeln.“ Tauchen wir in das ein, was Autor Robert Quinn als den sogenannten ""fundamental state of leadership"" bezeichnet.")</f>
        <v>„Führungskräfte sind dann am besten, wenn sie aus ihren tiefsten Werten und Instinkten heraus handeln.“ Tauchen wir in das ein, was Autor Robert Quinn als den sogenannten "fundamental state of leadership" bezeichnet.</v>
      </c>
      <c r="D92" s="8" t="str">
        <f>IFERROR(__xludf.DUMMYFUNCTION("""COMPUTED_VALUE"""),"„Führungskräfte sind dann am besten, wenn sie aus ihren tiefsten Werten und Instinkten heraus handeln.“ Tauchen wir in das ein, was Autor Robert Quinn als den sogenannten ""fundamental state of leadership"" bezeichnet.")</f>
        <v>„Führungskräfte sind dann am besten, wenn sie aus ihren tiefsten Werten und Instinkten heraus handeln.“ Tauchen wir in das ein, was Autor Robert Quinn als den sogenannten "fundamental state of leadership" bezeichnet.</v>
      </c>
      <c r="E92" s="26" t="str">
        <f>IFERROR(__xludf.DUMMYFUNCTION("""COMPUTED_VALUE"""),"Collaboration and Leadership")</f>
        <v>Collaboration and Leadership</v>
      </c>
      <c r="F92" s="10" t="str">
        <f>IFERROR(__xludf.DUMMYFUNCTION("""COMPUTED_VALUE"""),"Harvard Business Publishing - ")</f>
        <v>Harvard Business Publishing - </v>
      </c>
      <c r="G92" s="11">
        <f>IFERROR(__xludf.DUMMYFUNCTION("""COMPUTED_VALUE"""),40.0)</f>
        <v>40</v>
      </c>
      <c r="H92" s="11">
        <f>IFERROR(__xludf.DUMMYFUNCTION("""COMPUTED_VALUE"""),12.0)</f>
        <v>12</v>
      </c>
      <c r="I92" s="12" t="str">
        <f>IFERROR(__xludf.DUMMYFUNCTION("""COMPUTED_VALUE"""),"English, German")</f>
        <v>English, German</v>
      </c>
      <c r="J92" s="12" t="str">
        <f>IFERROR(__xludf.DUMMYFUNCTION("""COMPUTED_VALUE"""),"Text only")</f>
        <v>Text only</v>
      </c>
      <c r="K92" s="13">
        <f>IFERROR(__xludf.DUMMYFUNCTION("""COMPUTED_VALUE"""),45309.0)</f>
        <v>45309</v>
      </c>
      <c r="L92" s="14" t="str">
        <f>IFERROR(__xludf.DUMMYFUNCTION("""COMPUTED_VALUE"""),"https://masterplan.com/courses/die-4-dimensionen-erfolgreicher-fuhrung")</f>
        <v>https://masterplan.com/courses/die-4-dimensionen-erfolgreicher-fuhrung</v>
      </c>
    </row>
    <row r="93">
      <c r="A93" s="15" t="str">
        <f>IFERROR(__xludf.DUMMYFUNCTION("""COMPUTED_VALUE"""),"Der Dunning-Kruger-Effekt")</f>
        <v>Der Dunning-Kruger-Effekt</v>
      </c>
      <c r="B93" s="16" t="str">
        <f>IFERROR(__xludf.DUMMYFUNCTION("""COMPUTED_VALUE"""),"The Dunning-Kruger Effect")</f>
        <v>The Dunning-Kruger Effect</v>
      </c>
      <c r="C93" s="17" t="str">
        <f>IFERROR(__xludf.DUMMYFUNCTION("""COMPUTED_VALUE"""),"Ahnungslos ohne es zu wissen: 1995 ""maskierte"" Arthur McWheeler sein Gesicht mit Zitronensaft und raubte zwei Banken aus. Seltsamerweise wurde er wenig später geschnappt! Auch wenn Bankraub nicht zu deinen Hobbys gehört: Selbstüberschätzung ist ein Mass"&amp;"enphänomen...")</f>
        <v>Ahnungslos ohne es zu wissen: 1995 "maskierte" Arthur McWheeler sein Gesicht mit Zitronensaft und raubte zwei Banken aus. Seltsamerweise wurde er wenig später geschnappt! Auch wenn Bankraub nicht zu deinen Hobbys gehört: Selbstüberschätzung ist ein Massenphänomen...</v>
      </c>
      <c r="D93" s="17" t="str">
        <f>IFERROR(__xludf.DUMMYFUNCTION("""COMPUTED_VALUE"""),"Clueless without knowing it: In 1995, Arthur McWheeler ""masked"" his face with lemon juice and robbed two banks. For some strange reason, he was caught shortly after! Even if robbing banks is not one of your hobbies: Overconfidence is a mass phenomenon.."&amp;".")</f>
        <v>Clueless without knowing it: In 1995, Arthur McWheeler "masked" his face with lemon juice and robbed two banks. For some strange reason, he was caught shortly after! Even if robbing banks is not one of your hobbies: Overconfidence is a mass phenomenon...</v>
      </c>
      <c r="E93" s="24" t="str">
        <f>IFERROR(__xludf.DUMMYFUNCTION("""COMPUTED_VALUE"""),"Emotional Intelligence")</f>
        <v>Emotional Intelligence</v>
      </c>
      <c r="F93" s="19" t="str">
        <f>IFERROR(__xludf.DUMMYFUNCTION("""COMPUTED_VALUE"""),"Masterplan - Nadine Wagenaar")</f>
        <v>Masterplan - Nadine Wagenaar</v>
      </c>
      <c r="G93" s="20">
        <f>IFERROR(__xludf.DUMMYFUNCTION("""COMPUTED_VALUE"""),4.0)</f>
        <v>4</v>
      </c>
      <c r="H93" s="20">
        <f>IFERROR(__xludf.DUMMYFUNCTION("""COMPUTED_VALUE"""),3.0)</f>
        <v>3</v>
      </c>
      <c r="I93" s="21" t="str">
        <f>IFERROR(__xludf.DUMMYFUNCTION("""COMPUTED_VALUE"""),"English, German")</f>
        <v>English, German</v>
      </c>
      <c r="J93" s="21" t="str">
        <f>IFERROR(__xludf.DUMMYFUNCTION("""COMPUTED_VALUE"""),"English, German")</f>
        <v>English, German</v>
      </c>
      <c r="K93" s="22">
        <f>IFERROR(__xludf.DUMMYFUNCTION("""COMPUTED_VALUE"""),45306.0)</f>
        <v>45306</v>
      </c>
      <c r="L93" s="23" t="str">
        <f>IFERROR(__xludf.DUMMYFUNCTION("""COMPUTED_VALUE"""),"https://masterplan.com/courses/mp-shorts-der-dunning-kruger-effekt")</f>
        <v>https://masterplan.com/courses/mp-shorts-der-dunning-kruger-effekt</v>
      </c>
    </row>
    <row r="94">
      <c r="A94" s="6" t="str">
        <f>IFERROR(__xludf.DUMMYFUNCTION("""COMPUTED_VALUE"""),"Handgelenke trainieren: 2 kräftigende Übungen")</f>
        <v>Handgelenke trainieren: 2 kräftigende Übungen</v>
      </c>
      <c r="B94" s="7" t="str">
        <f>IFERROR(__xludf.DUMMYFUNCTION("""COMPUTED_VALUE"""),"n.a.")</f>
        <v>n.a.</v>
      </c>
      <c r="C94" s="8" t="str">
        <f>IFERROR(__xludf.DUMMYFUNCTION("""COMPUTED_VALUE"""),"Jetzt werden die Ärmel hochgekrempelt! Deine Hände sind ständig am machen, wenn du allerdings zu oft monotone Bewegungen ausführst, schlagen deine Hangelenke früher oder später Alarm und machen schlapp – Schmerzen inklusive. Bevor es soweit kommt: Leg sel"&amp;"bst Hand an!")</f>
        <v>Jetzt werden die Ärmel hochgekrempelt! Deine Hände sind ständig am machen, wenn du allerdings zu oft monotone Bewegungen ausführst, schlagen deine Hangelenke früher oder später Alarm und machen schlapp – Schmerzen inklusive. Bevor es soweit kommt: Leg selbst Hand an!</v>
      </c>
      <c r="D94" s="8" t="str">
        <f>IFERROR(__xludf.DUMMYFUNCTION("""COMPUTED_VALUE"""),"n.a.")</f>
        <v>n.a.</v>
      </c>
      <c r="E94" s="24" t="str">
        <f>IFERROR(__xludf.DUMMYFUNCTION("""COMPUTED_VALUE"""),"Emotional Intelligence")</f>
        <v>Emotional Intelligence</v>
      </c>
      <c r="F94" s="10" t="str">
        <f>IFERROR(__xludf.DUMMYFUNCTION("""COMPUTED_VALUE"""),"Ergotopia")</f>
        <v>Ergotopia</v>
      </c>
      <c r="G94" s="11">
        <f>IFERROR(__xludf.DUMMYFUNCTION("""COMPUTED_VALUE"""),6.0)</f>
        <v>6</v>
      </c>
      <c r="H94" s="11">
        <f>IFERROR(__xludf.DUMMYFUNCTION("""COMPUTED_VALUE"""),1.0)</f>
        <v>1</v>
      </c>
      <c r="I94" s="12" t="str">
        <f>IFERROR(__xludf.DUMMYFUNCTION("""COMPUTED_VALUE"""),"German")</f>
        <v>German</v>
      </c>
      <c r="J94" s="12" t="str">
        <f>IFERROR(__xludf.DUMMYFUNCTION("""COMPUTED_VALUE"""),"German")</f>
        <v>German</v>
      </c>
      <c r="K94" s="13">
        <f>IFERROR(__xludf.DUMMYFUNCTION("""COMPUTED_VALUE"""),45303.0)</f>
        <v>45303</v>
      </c>
      <c r="L94" s="14" t="str">
        <f>IFERROR(__xludf.DUMMYFUNCTION("""COMPUTED_VALUE"""),"https://masterplan.com/courses/handgelenke-trainieren-2-kraftigende-ubungen")</f>
        <v>https://masterplan.com/courses/handgelenke-trainieren-2-kraftigende-ubungen</v>
      </c>
    </row>
    <row r="95">
      <c r="A95" s="15" t="str">
        <f>IFERROR(__xludf.DUMMYFUNCTION("""COMPUTED_VALUE"""),"Dynamisches sitzen: Die ""40-15-5""-Regel")</f>
        <v>Dynamisches sitzen: Die "40-15-5"-Regel</v>
      </c>
      <c r="B95" s="16" t="str">
        <f>IFERROR(__xludf.DUMMYFUNCTION("""COMPUTED_VALUE"""),"n.a.")</f>
        <v>n.a.</v>
      </c>
      <c r="C95" s="17" t="str">
        <f>IFERROR(__xludf.DUMMYFUNCTION("""COMPUTED_VALUE"""),"„Sitzen ist das neue Rauchen!“ Und ja, tatsächlich ist ständiges Sitzen Gift für den Körper. Die Lösung? Das aktive und häufige Verändern der Sitzposition: 40-15-5 lautet das Geheimnis für mehr Gesundheit und Wohlbefinden im Büroalltag! ")</f>
        <v>„Sitzen ist das neue Rauchen!“ Und ja, tatsächlich ist ständiges Sitzen Gift für den Körper. Die Lösung? Das aktive und häufige Verändern der Sitzposition: 40-15-5 lautet das Geheimnis für mehr Gesundheit und Wohlbefinden im Büroalltag! </v>
      </c>
      <c r="D95" s="17" t="str">
        <f>IFERROR(__xludf.DUMMYFUNCTION("""COMPUTED_VALUE"""),"n.a.")</f>
        <v>n.a.</v>
      </c>
      <c r="E95" s="24" t="str">
        <f>IFERROR(__xludf.DUMMYFUNCTION("""COMPUTED_VALUE"""),"Emotional Intelligence")</f>
        <v>Emotional Intelligence</v>
      </c>
      <c r="F95" s="19" t="str">
        <f>IFERROR(__xludf.DUMMYFUNCTION("""COMPUTED_VALUE"""),"Ergotopia")</f>
        <v>Ergotopia</v>
      </c>
      <c r="G95" s="20">
        <f>IFERROR(__xludf.DUMMYFUNCTION("""COMPUTED_VALUE"""),3.0)</f>
        <v>3</v>
      </c>
      <c r="H95" s="20">
        <f>IFERROR(__xludf.DUMMYFUNCTION("""COMPUTED_VALUE"""),1.0)</f>
        <v>1</v>
      </c>
      <c r="I95" s="21" t="str">
        <f>IFERROR(__xludf.DUMMYFUNCTION("""COMPUTED_VALUE"""),"German")</f>
        <v>German</v>
      </c>
      <c r="J95" s="21" t="str">
        <f>IFERROR(__xludf.DUMMYFUNCTION("""COMPUTED_VALUE"""),"German")</f>
        <v>German</v>
      </c>
      <c r="K95" s="22">
        <f>IFERROR(__xludf.DUMMYFUNCTION("""COMPUTED_VALUE"""),45303.0)</f>
        <v>45303</v>
      </c>
      <c r="L95" s="23" t="str">
        <f>IFERROR(__xludf.DUMMYFUNCTION("""COMPUTED_VALUE"""),"https://masterplan.com/courses/dynamisches-sitzen-die-40-15-5-regel")</f>
        <v>https://masterplan.com/courses/dynamisches-sitzen-die-40-15-5-regel</v>
      </c>
    </row>
    <row r="96">
      <c r="A96" s="6" t="str">
        <f>IFERROR(__xludf.DUMMYFUNCTION("""COMPUTED_VALUE"""),"Full-Body Express: Dein 10 Minuten Ganzkörperworkout ")</f>
        <v>Full-Body Express: Dein 10 Minuten Ganzkörperworkout </v>
      </c>
      <c r="B96" s="7" t="str">
        <f>IFERROR(__xludf.DUMMYFUNCTION("""COMPUTED_VALUE"""),"n.a.")</f>
        <v>n.a.</v>
      </c>
      <c r="C96" s="8" t="str">
        <f>IFERROR(__xludf.DUMMYFUNCTION("""COMPUTED_VALUE"""),"Keine Zeit für Sport? Für ein starkes und effektives Ganzkörpertraining braucht es lediglich ein paar einfache Übungen, die sich auch noch jederzeit durchführen lassen – ganz ohne Gym-Mitgliedschaft oder Geräte! Press play und mach dich in unter 10 Minute"&amp;"n rundum fit!")</f>
        <v>Keine Zeit für Sport? Für ein starkes und effektives Ganzkörpertraining braucht es lediglich ein paar einfache Übungen, die sich auch noch jederzeit durchführen lassen – ganz ohne Gym-Mitgliedschaft oder Geräte! Press play und mach dich in unter 10 Minuten rundum fit!</v>
      </c>
      <c r="D96" s="8" t="str">
        <f>IFERROR(__xludf.DUMMYFUNCTION("""COMPUTED_VALUE"""),"n.a.")</f>
        <v>n.a.</v>
      </c>
      <c r="E96" s="24" t="str">
        <f>IFERROR(__xludf.DUMMYFUNCTION("""COMPUTED_VALUE"""),"Emotional Intelligence")</f>
        <v>Emotional Intelligence</v>
      </c>
      <c r="F96" s="10" t="str">
        <f>IFERROR(__xludf.DUMMYFUNCTION("""COMPUTED_VALUE"""),"Ergotopia")</f>
        <v>Ergotopia</v>
      </c>
      <c r="G96" s="11">
        <f>IFERROR(__xludf.DUMMYFUNCTION("""COMPUTED_VALUE"""),9.0)</f>
        <v>9</v>
      </c>
      <c r="H96" s="11">
        <f>IFERROR(__xludf.DUMMYFUNCTION("""COMPUTED_VALUE"""),1.0)</f>
        <v>1</v>
      </c>
      <c r="I96" s="12" t="str">
        <f>IFERROR(__xludf.DUMMYFUNCTION("""COMPUTED_VALUE"""),"German")</f>
        <v>German</v>
      </c>
      <c r="J96" s="12" t="str">
        <f>IFERROR(__xludf.DUMMYFUNCTION("""COMPUTED_VALUE"""),"German")</f>
        <v>German</v>
      </c>
      <c r="K96" s="13">
        <f>IFERROR(__xludf.DUMMYFUNCTION("""COMPUTED_VALUE"""),45303.0)</f>
        <v>45303</v>
      </c>
      <c r="L96" s="14" t="str">
        <f>IFERROR(__xludf.DUMMYFUNCTION("""COMPUTED_VALUE"""),"https://masterplan.com/courses/full-body-express-dein-10-minuten-ganzkorperworkout")</f>
        <v>https://masterplan.com/courses/full-body-express-dein-10-minuten-ganzkorperworkout</v>
      </c>
    </row>
    <row r="97">
      <c r="A97" s="15" t="str">
        <f>IFERROR(__xludf.DUMMYFUNCTION("""COMPUTED_VALUE"""),"Von Zahlen zu Aha-Momenten: Daten sinnvoll nutzen")</f>
        <v>Von Zahlen zu Aha-Momenten: Daten sinnvoll nutzen</v>
      </c>
      <c r="B97" s="16" t="str">
        <f>IFERROR(__xludf.DUMMYFUNCTION("""COMPUTED_VALUE"""),"From Numbers to Revelations: Meaningful Use of Data")</f>
        <v>From Numbers to Revelations: Meaningful Use of Data</v>
      </c>
      <c r="C97" s="17" t="str">
        <f>IFERROR(__xludf.DUMMYFUNCTION("""COMPUTED_VALUE"""),"Fehlerhafte Visualisierungen oder
schlecht begründete Entscheidungen – fehlende Data Literacy zeigt sich an vielen Stellen. Daten zu lesen, mit ihnen zu arbeiten, sie zu analysieren und zu kommunizieren klingt simpel, bringt allerdings einige Fallstricke "&amp;"mit sich...")</f>
        <v>Fehlerhafte Visualisierungen oder
schlecht begründete Entscheidungen – fehlende Data Literacy zeigt sich an vielen Stellen. Daten zu lesen, mit ihnen zu arbeiten, sie zu analysieren und zu kommunizieren klingt simpel, bringt allerdings einige Fallstricke mit sich...</v>
      </c>
      <c r="D97" s="17" t="str">
        <f>IFERROR(__xludf.DUMMYFUNCTION("""COMPUTED_VALUE"""),"Poor visualizations or ill-founded decisions - a lack of Data Literacy manifests itself in many ways. Reading, working with, analyzing, and communicating data may sound simple, but it comes with its own set of challenges...")</f>
        <v>Poor visualizations or ill-founded decisions - a lack of Data Literacy manifests itself in many ways. Reading, working with, analyzing, and communicating data may sound simple, but it comes with its own set of challenges...</v>
      </c>
      <c r="E97" s="25" t="str">
        <f>IFERROR(__xludf.DUMMYFUNCTION("""COMPUTED_VALUE"""),"Digital Literacy")</f>
        <v>Digital Literacy</v>
      </c>
      <c r="F97" s="30" t="str">
        <f>IFERROR(__xludf.DUMMYFUNCTION("""COMPUTED_VALUE"""),"Masterplan.com")</f>
        <v>Masterplan.com</v>
      </c>
      <c r="G97" s="20">
        <f>IFERROR(__xludf.DUMMYFUNCTION("""COMPUTED_VALUE"""),44.0)</f>
        <v>44</v>
      </c>
      <c r="H97" s="20">
        <f>IFERROR(__xludf.DUMMYFUNCTION("""COMPUTED_VALUE"""),28.0)</f>
        <v>28</v>
      </c>
      <c r="I97" s="21" t="str">
        <f>IFERROR(__xludf.DUMMYFUNCTION("""COMPUTED_VALUE"""),"English, German")</f>
        <v>English, German</v>
      </c>
      <c r="J97" s="21" t="str">
        <f>IFERROR(__xludf.DUMMYFUNCTION("""COMPUTED_VALUE"""),"German")</f>
        <v>German</v>
      </c>
      <c r="K97" s="22">
        <f>IFERROR(__xludf.DUMMYFUNCTION("""COMPUTED_VALUE"""),45279.0)</f>
        <v>45279</v>
      </c>
      <c r="L97" s="23" t="str">
        <f>IFERROR(__xludf.DUMMYFUNCTION("""COMPUTED_VALUE"""),"https://masterplan.com/courses/von-zahlen-zu-aha-momenten-daten-sinnvoll-nutzen")</f>
        <v>https://masterplan.com/courses/von-zahlen-zu-aha-momenten-daten-sinnvoll-nutzen</v>
      </c>
    </row>
    <row r="98">
      <c r="A98" s="6" t="str">
        <f>IFERROR(__xludf.DUMMYFUNCTION("""COMPUTED_VALUE"""),"Erfolgreich führen durch unsichere Zeiten")</f>
        <v>Erfolgreich führen durch unsichere Zeiten</v>
      </c>
      <c r="B98" s="7" t="str">
        <f>IFERROR(__xludf.DUMMYFUNCTION("""COMPUTED_VALUE"""),"Leading Successfully Through Uncertain Times")</f>
        <v>Leading Successfully Through Uncertain Times</v>
      </c>
      <c r="C98" s="8" t="str">
        <f>IFERROR(__xludf.DUMMYFUNCTION("""COMPUTED_VALUE"""),"Die Macht des Wortes ""Und"", der Fokus auf alte Erfolge und Experimentierfreude –  Führungskräfte wissen, was ihr Team durch turbulenten Zeiten bringt. Stärke dein Team durch Resilienz und motiviere durch Autonomie und offene Dialoge, um Wandel erfolgrei"&amp;"ch zu meistern.")</f>
        <v>Die Macht des Wortes "Und", der Fokus auf alte Erfolge und Experimentierfreude –  Führungskräfte wissen, was ihr Team durch turbulenten Zeiten bringt. Stärke dein Team durch Resilienz und motiviere durch Autonomie und offene Dialoge, um Wandel erfolgreich zu meistern.</v>
      </c>
      <c r="D98" s="8" t="str">
        <f>IFERROR(__xludf.DUMMYFUNCTION("""COMPUTED_VALUE"""),"In turbulent times, leaders wield the ""and"" power, revive past successes, and embrace experimentation. Ignite motivation through autonomy, foster open dialogue, sharpen focus, and shield against burnout. Empower your team with resilience to navigate cha"&amp;"nge successfully.")</f>
        <v>In turbulent times, leaders wield the "and" power, revive past successes, and embrace experimentation. Ignite motivation through autonomy, foster open dialogue, sharpen focus, and shield against burnout. Empower your team with resilience to navigate change successfully.</v>
      </c>
      <c r="E98" s="25" t="str">
        <f>IFERROR(__xludf.DUMMYFUNCTION("""COMPUTED_VALUE"""),"Digital Literacy")</f>
        <v>Digital Literacy</v>
      </c>
      <c r="F98" s="10" t="str">
        <f>IFERROR(__xludf.DUMMYFUNCTION("""COMPUTED_VALUE"""),"Harvard Business Publishing - ")</f>
        <v>Harvard Business Publishing - </v>
      </c>
      <c r="G98" s="11">
        <f>IFERROR(__xludf.DUMMYFUNCTION("""COMPUTED_VALUE"""),19.0)</f>
        <v>19</v>
      </c>
      <c r="H98" s="11">
        <f>IFERROR(__xludf.DUMMYFUNCTION("""COMPUTED_VALUE"""),6.0)</f>
        <v>6</v>
      </c>
      <c r="I98" s="12" t="str">
        <f>IFERROR(__xludf.DUMMYFUNCTION("""COMPUTED_VALUE"""),"English, German")</f>
        <v>English, German</v>
      </c>
      <c r="J98" s="12" t="str">
        <f>IFERROR(__xludf.DUMMYFUNCTION("""COMPUTED_VALUE"""),"Text only")</f>
        <v>Text only</v>
      </c>
      <c r="K98" s="13">
        <f>IFERROR(__xludf.DUMMYFUNCTION("""COMPUTED_VALUE"""),45278.0)</f>
        <v>45278</v>
      </c>
      <c r="L98" s="14" t="str">
        <f>IFERROR(__xludf.DUMMYFUNCTION("""COMPUTED_VALUE"""),"https://masterplan.com/courses/erfolgreich-fuhren-durch-unsichere-zeiten")</f>
        <v>https://masterplan.com/courses/erfolgreich-fuhren-durch-unsichere-zeiten</v>
      </c>
    </row>
    <row r="99">
      <c r="A99" s="15" t="str">
        <f>IFERROR(__xludf.DUMMYFUNCTION("""COMPUTED_VALUE"""),"Relationale Intelligenz, Der Boost für Deine Unternehmenskultur")</f>
        <v>Relationale Intelligenz, Der Boost für Deine Unternehmenskultur</v>
      </c>
      <c r="B99" s="16" t="str">
        <f>IFERROR(__xludf.DUMMYFUNCTION("""COMPUTED_VALUE"""),"Investing in Relational Intelligence")</f>
        <v>Investing in Relational Intelligence</v>
      </c>
      <c r="C99" s="17" t="str">
        <f>IFERROR(__xludf.DUMMYFUNCTION("""COMPUTED_VALUE"""),"Heutzutage hängen Leistung, Produktivität, Mitarbeiterbindung und Talent mehr denn je von relationaler Intelligenz und der Qualität der Beziehungskultur in Unternehmen ab. In einer Konsum- und Dienstleistungswirtschaft ist die Beziehungsqualität wichtiger"&amp;" als je zuvor.")</f>
        <v>Heutzutage hängen Leistung, Produktivität, Mitarbeiterbindung und Talent mehr denn je von relationaler Intelligenz und der Qualität der Beziehungskultur in Unternehmen ab. In einer Konsum- und Dienstleistungswirtschaft ist die Beziehungsqualität wichtiger als je zuvor.</v>
      </c>
      <c r="D99" s="17" t="str">
        <f>IFERROR(__xludf.DUMMYFUNCTION("""COMPUTED_VALUE"""),"Today, more than ever, performance, productivity, retention and even talent rely on relational intelligence and on the quality of the relational culture within companies. In a consumer and service economy, relationship quality is more important than ever "&amp;"before.")</f>
        <v>Today, more than ever, performance, productivity, retention and even talent rely on relational intelligence and on the quality of the relational culture within companies. In a consumer and service economy, relationship quality is more important than ever before.</v>
      </c>
      <c r="E99" s="26" t="str">
        <f>IFERROR(__xludf.DUMMYFUNCTION("""COMPUTED_VALUE"""),"Collaboration and Leadership")</f>
        <v>Collaboration and Leadership</v>
      </c>
      <c r="F99" s="19" t="str">
        <f>IFERROR(__xludf.DUMMYFUNCTION("""COMPUTED_VALUE"""),"Big Think - Esther Perel")</f>
        <v>Big Think - Esther Perel</v>
      </c>
      <c r="G99" s="20">
        <f>IFERROR(__xludf.DUMMYFUNCTION("""COMPUTED_VALUE"""),28.0)</f>
        <v>28</v>
      </c>
      <c r="H99" s="20">
        <f>IFERROR(__xludf.DUMMYFUNCTION("""COMPUTED_VALUE"""),15.0)</f>
        <v>15</v>
      </c>
      <c r="I99" s="21" t="str">
        <f>IFERROR(__xludf.DUMMYFUNCTION("""COMPUTED_VALUE"""),"English, German")</f>
        <v>English, German</v>
      </c>
      <c r="J99" s="21" t="str">
        <f>IFERROR(__xludf.DUMMYFUNCTION("""COMPUTED_VALUE"""),"English")</f>
        <v>English</v>
      </c>
      <c r="K99" s="22">
        <f>IFERROR(__xludf.DUMMYFUNCTION("""COMPUTED_VALUE"""),45273.0)</f>
        <v>45273</v>
      </c>
      <c r="L99" s="23" t="str">
        <f>IFERROR(__xludf.DUMMYFUNCTION("""COMPUTED_VALUE"""),"https://masterplan.com/courses/relationale-intelligenz-der-boost-fur-deine-unternehmenskultur")</f>
        <v>https://masterplan.com/courses/relationale-intelligenz-der-boost-fur-deine-unternehmenskultur</v>
      </c>
    </row>
    <row r="100">
      <c r="A100" s="6" t="str">
        <f>IFERROR(__xludf.DUMMYFUNCTION("""COMPUTED_VALUE"""),"Emotionale Intelligenz: Beziehungsmanagement")</f>
        <v>Emotionale Intelligenz: Beziehungsmanagement</v>
      </c>
      <c r="B100" s="7" t="str">
        <f>IFERROR(__xludf.DUMMYFUNCTION("""COMPUTED_VALUE"""),"Emotional Intelligence: Relationship Management")</f>
        <v>Emotional Intelligence: Relationship Management</v>
      </c>
      <c r="C100" s="8" t="str">
        <f>IFERROR(__xludf.DUMMYFUNCTION("""COMPUTED_VALUE"""),"""Eine Hand wäscht die andere!"" – Menschen mit einem guten Beziehungsmanagement wissen das! Das ist sicher irgendwo ein Stückweit manipulativ, aber würdest du das auch über Kompetenzen wie Konfliktmanagement oder Coaching und Mentoring sagen?")</f>
        <v>"Eine Hand wäscht die andere!" – Menschen mit einem guten Beziehungsmanagement wissen das! Das ist sicher irgendwo ein Stückweit manipulativ, aber würdest du das auch über Kompetenzen wie Konfliktmanagement oder Coaching und Mentoring sagen?</v>
      </c>
      <c r="D100" s="8" t="str">
        <f>IFERROR(__xludf.DUMMYFUNCTION("""COMPUTED_VALUE"""),"""You scratch my back and I'll scratch yours!"" – those adept at relationship management know this well. It might seem a bit manipulative, but would you say the same about skills like conflict management or coaching and mentoring?")</f>
        <v>"You scratch my back and I'll scratch yours!" – those adept at relationship management know this well. It might seem a bit manipulative, but would you say the same about skills like conflict management or coaching and mentoring?</v>
      </c>
      <c r="E100" s="24" t="str">
        <f>IFERROR(__xludf.DUMMYFUNCTION("""COMPUTED_VALUE"""),"Emotional Intelligence")</f>
        <v>Emotional Intelligence</v>
      </c>
      <c r="F100" s="10" t="str">
        <f>IFERROR(__xludf.DUMMYFUNCTION("""COMPUTED_VALUE"""),"Sophia Gorgi")</f>
        <v>Sophia Gorgi</v>
      </c>
      <c r="G100" s="11">
        <f>IFERROR(__xludf.DUMMYFUNCTION("""COMPUTED_VALUE"""),45.0)</f>
        <v>45</v>
      </c>
      <c r="H100" s="11">
        <f>IFERROR(__xludf.DUMMYFUNCTION("""COMPUTED_VALUE"""),21.0)</f>
        <v>21</v>
      </c>
      <c r="I100" s="12" t="str">
        <f>IFERROR(__xludf.DUMMYFUNCTION("""COMPUTED_VALUE"""),"English, German")</f>
        <v>English, German</v>
      </c>
      <c r="J100" s="12" t="str">
        <f>IFERROR(__xludf.DUMMYFUNCTION("""COMPUTED_VALUE"""),"English, German")</f>
        <v>English, German</v>
      </c>
      <c r="K100" s="13">
        <f>IFERROR(__xludf.DUMMYFUNCTION("""COMPUTED_VALUE"""),45271.0)</f>
        <v>45271</v>
      </c>
      <c r="L100" s="14" t="str">
        <f>IFERROR(__xludf.DUMMYFUNCTION("""COMPUTED_VALUE"""),"https://masterplan.com/courses/emotionale-intelligenz-beziehungsmanagement")</f>
        <v>https://masterplan.com/courses/emotionale-intelligenz-beziehungsmanagement</v>
      </c>
    </row>
    <row r="101">
      <c r="A101" s="15" t="str">
        <f>IFERROR(__xludf.DUMMYFUNCTION("""COMPUTED_VALUE"""),"Selbstsabotage im Team: Ursachen und Lösungen")</f>
        <v>Selbstsabotage im Team: Ursachen und Lösungen</v>
      </c>
      <c r="B101" s="16" t="str">
        <f>IFERROR(__xludf.DUMMYFUNCTION("""COMPUTED_VALUE"""),"Fixing a Self-Sabotaging Team")</f>
        <v>Fixing a Self-Sabotaging Team</v>
      </c>
      <c r="C101" s="17" t="str">
        <f>IFERROR(__xludf.DUMMYFUNCTION("""COMPUTED_VALUE"""),"Von Sündenböcken und alleinigen Rettern: Gerät ein Team unter Stress, ist die Teamdynamik schnell vergiftet - was alle Beteiligten unter psychischen Druck setzt. Dieser Harvard-Artikel hilft dir dabei, Anzeichen der Selbstsabotage zu erkennen und zu beheb"&amp;"en!")</f>
        <v>Von Sündenböcken und alleinigen Rettern: Gerät ein Team unter Stress, ist die Teamdynamik schnell vergiftet - was alle Beteiligten unter psychischen Druck setzt. Dieser Harvard-Artikel hilft dir dabei, Anzeichen der Selbstsabotage zu erkennen und zu beheben!</v>
      </c>
      <c r="D101" s="17" t="str">
        <f>IFERROR(__xludf.DUMMYFUNCTION("""COMPUTED_VALUE"""),"Scapegoats and lone saviors: When a team faces stress, its dynamics can quickly turn toxic, putting psychological pressure on everyone involved. This Harvard article guides you in identifying and rectifying signs of self-sabotage within your team!")</f>
        <v>Scapegoats and lone saviors: When a team faces stress, its dynamics can quickly turn toxic, putting psychological pressure on everyone involved. This Harvard article guides you in identifying and rectifying signs of self-sabotage within your team!</v>
      </c>
      <c r="E101" s="26" t="str">
        <f>IFERROR(__xludf.DUMMYFUNCTION("""COMPUTED_VALUE"""),"Collaboration and Leadership")</f>
        <v>Collaboration and Leadership</v>
      </c>
      <c r="F101" s="19" t="str">
        <f>IFERROR(__xludf.DUMMYFUNCTION("""COMPUTED_VALUE"""),"Harvard Business Publishing - ")</f>
        <v>Harvard Business Publishing - </v>
      </c>
      <c r="G101" s="20">
        <f>IFERROR(__xludf.DUMMYFUNCTION("""COMPUTED_VALUE"""),32.0)</f>
        <v>32</v>
      </c>
      <c r="H101" s="20">
        <f>IFERROR(__xludf.DUMMYFUNCTION("""COMPUTED_VALUE"""),14.0)</f>
        <v>14</v>
      </c>
      <c r="I101" s="21" t="str">
        <f>IFERROR(__xludf.DUMMYFUNCTION("""COMPUTED_VALUE"""),"English, German")</f>
        <v>English, German</v>
      </c>
      <c r="J101" s="21" t="str">
        <f>IFERROR(__xludf.DUMMYFUNCTION("""COMPUTED_VALUE"""),"Text only")</f>
        <v>Text only</v>
      </c>
      <c r="K101" s="22">
        <f>IFERROR(__xludf.DUMMYFUNCTION("""COMPUTED_VALUE"""),45268.0)</f>
        <v>45268</v>
      </c>
      <c r="L101" s="23" t="str">
        <f>IFERROR(__xludf.DUMMYFUNCTION("""COMPUTED_VALUE"""),"https://masterplan.com/courses/selbstsabotage-im-team-ursachen-und-losungen")</f>
        <v>https://masterplan.com/courses/selbstsabotage-im-team-ursachen-und-losungen</v>
      </c>
    </row>
    <row r="102">
      <c r="A102" s="6" t="str">
        <f>IFERROR(__xludf.DUMMYFUNCTION("""COMPUTED_VALUE"""),"So gelingen dir Performance Reviews")</f>
        <v>So gelingen dir Performance Reviews</v>
      </c>
      <c r="B102" s="7" t="str">
        <f>IFERROR(__xludf.DUMMYFUNCTION("""COMPUTED_VALUE"""),"How to Deliver Performance Reviews")</f>
        <v>How to Deliver Performance Reviews</v>
      </c>
      <c r="C102" s="8" t="str">
        <f>IFERROR(__xludf.DUMMYFUNCTION("""COMPUTED_VALUE"""),"Wer bewertet schon gerne seine Mitarbeitenden? Dabei sind es Leistungsbeurteilungen und ehrliches Feedback, die deinem Team dabei helfen, besser zu werden – sofern du richtig kommunizierst. Dieser Kurs zeigt dir, wie du konstruktive Mitarbeitergespräche  "&amp;"durchführst.")</f>
        <v>Wer bewertet schon gerne seine Mitarbeitenden? Dabei sind es Leistungsbeurteilungen und ehrliches Feedback, die deinem Team dabei helfen, besser zu werden – sofern du richtig kommunizierst. Dieser Kurs zeigt dir, wie du konstruktive Mitarbeitergespräche  durchführst.</v>
      </c>
      <c r="D102" s="8" t="str">
        <f>IFERROR(__xludf.DUMMYFUNCTION("""COMPUTED_VALUE"""),"Who enjoys evaluating their employees? Yet, it's performance reviews and honest feedback that help your team improve – if communicated correctly. This course teaches you how to conduct constructive employee conversations effectively.")</f>
        <v>Who enjoys evaluating their employees? Yet, it's performance reviews and honest feedback that help your team improve – if communicated correctly. This course teaches you how to conduct constructive employee conversations effectively.</v>
      </c>
      <c r="E102" s="26" t="str">
        <f>IFERROR(__xludf.DUMMYFUNCTION("""COMPUTED_VALUE"""),"Collaboration and Leadership")</f>
        <v>Collaboration and Leadership</v>
      </c>
      <c r="F102" s="10" t="str">
        <f>IFERROR(__xludf.DUMMYFUNCTION("""COMPUTED_VALUE"""),"Harvard Business Publishing - ")</f>
        <v>Harvard Business Publishing - </v>
      </c>
      <c r="G102" s="11">
        <f>IFERROR(__xludf.DUMMYFUNCTION("""COMPUTED_VALUE"""),38.0)</f>
        <v>38</v>
      </c>
      <c r="H102" s="11">
        <f>IFERROR(__xludf.DUMMYFUNCTION("""COMPUTED_VALUE"""),7.0)</f>
        <v>7</v>
      </c>
      <c r="I102" s="12" t="str">
        <f>IFERROR(__xludf.DUMMYFUNCTION("""COMPUTED_VALUE"""),"English, German")</f>
        <v>English, German</v>
      </c>
      <c r="J102" s="12" t="str">
        <f>IFERROR(__xludf.DUMMYFUNCTION("""COMPUTED_VALUE"""),"English")</f>
        <v>English</v>
      </c>
      <c r="K102" s="13">
        <f>IFERROR(__xludf.DUMMYFUNCTION("""COMPUTED_VALUE"""),45268.0)</f>
        <v>45268</v>
      </c>
      <c r="L102" s="14" t="str">
        <f>IFERROR(__xludf.DUMMYFUNCTION("""COMPUTED_VALUE"""),"https://masterplan.com/courses/so-gelingen-dir-performance-reviews")</f>
        <v>https://masterplan.com/courses/so-gelingen-dir-performance-reviews</v>
      </c>
    </row>
    <row r="103">
      <c r="A103" s="15" t="str">
        <f>IFERROR(__xludf.DUMMYFUNCTION("""COMPUTED_VALUE"""),"Emotionale Intelligenz: Social Awareness")</f>
        <v>Emotionale Intelligenz: Social Awareness</v>
      </c>
      <c r="B103" s="16" t="str">
        <f>IFERROR(__xludf.DUMMYFUNCTION("""COMPUTED_VALUE"""),"Emotional Intelligence: Social Awareness")</f>
        <v>Emotional Intelligence: Social Awareness</v>
      </c>
      <c r="C103" s="17" t="str">
        <f>IFERROR(__xludf.DUMMYFUNCTION("""COMPUTED_VALUE"""),"Autobiographisches Zuhören, adaptive Herausforderungen und Strohmänner – drei Fallstricke, die eine Kommunikation auf Augenhöhe unmöglich machen! Dabei ließe sich aus dem Strohmann ganz einfach ein Stahlmann machen und auch der ""Intend to Understand"" is"&amp;"t trainierbar...")</f>
        <v>Autobiographisches Zuhören, adaptive Herausforderungen und Strohmänner – drei Fallstricke, die eine Kommunikation auf Augenhöhe unmöglich machen! Dabei ließe sich aus dem Strohmann ganz einfach ein Stahlmann machen und auch der "Intend to Understand" ist trainierbar...</v>
      </c>
      <c r="D103" s="17" t="str">
        <f>IFERROR(__xludf.DUMMYFUNCTION("""COMPUTED_VALUE"""),"Autobiographical listening, adaptive challenges, and straw man arguments – three pitfalls that hinder peer-level communication! Yet, transforming a straw man into a steelman is doable, and the 'Intend to Understand' approach is something that can be train"&amp;"ed...")</f>
        <v>Autobiographical listening, adaptive challenges, and straw man arguments – three pitfalls that hinder peer-level communication! Yet, transforming a straw man into a steelman is doable, and the 'Intend to Understand' approach is something that can be trained...</v>
      </c>
      <c r="E103" s="24" t="str">
        <f>IFERROR(__xludf.DUMMYFUNCTION("""COMPUTED_VALUE"""),"Emotional Intelligence")</f>
        <v>Emotional Intelligence</v>
      </c>
      <c r="F103" s="19" t="str">
        <f>IFERROR(__xludf.DUMMYFUNCTION("""COMPUTED_VALUE"""),"Sophia Gorgi")</f>
        <v>Sophia Gorgi</v>
      </c>
      <c r="G103" s="20">
        <f>IFERROR(__xludf.DUMMYFUNCTION("""COMPUTED_VALUE"""),43.0)</f>
        <v>43</v>
      </c>
      <c r="H103" s="20">
        <f>IFERROR(__xludf.DUMMYFUNCTION("""COMPUTED_VALUE"""),19.0)</f>
        <v>19</v>
      </c>
      <c r="I103" s="21" t="str">
        <f>IFERROR(__xludf.DUMMYFUNCTION("""COMPUTED_VALUE"""),"English, German")</f>
        <v>English, German</v>
      </c>
      <c r="J103" s="21" t="str">
        <f>IFERROR(__xludf.DUMMYFUNCTION("""COMPUTED_VALUE"""),"English, German")</f>
        <v>English, German</v>
      </c>
      <c r="K103" s="22">
        <f>IFERROR(__xludf.DUMMYFUNCTION("""COMPUTED_VALUE"""),45243.0)</f>
        <v>45243</v>
      </c>
      <c r="L103" s="23" t="str">
        <f>IFERROR(__xludf.DUMMYFUNCTION("""COMPUTED_VALUE"""),"https://masterplan.com/courses/emotionale-intelligenz-social-awareness")</f>
        <v>https://masterplan.com/courses/emotionale-intelligenz-social-awareness</v>
      </c>
    </row>
    <row r="104">
      <c r="A104" s="6" t="str">
        <f>IFERROR(__xludf.DUMMYFUNCTION("""COMPUTED_VALUE"""),"Dein Karriereboost: Taktisch zur neuen Jobposition")</f>
        <v>Dein Karriereboost: Taktisch zur neuen Jobposition</v>
      </c>
      <c r="B104" s="7" t="str">
        <f>IFERROR(__xludf.DUMMYFUNCTION("""COMPUTED_VALUE"""),"Your Career Boost: A Tactical Approach to a New Job Position")</f>
        <v>Your Career Boost: A Tactical Approach to a New Job Position</v>
      </c>
      <c r="C104" s="8" t="str">
        <f>IFERROR(__xludf.DUMMYFUNCTION("""COMPUTED_VALUE"""),"Aktiv nach einer Beförderung fragen? Für viele undenkbar! Doch genau diese Scheu hält dich davon ab, die Karriereleiter zu erklimmen! Nicht verzagen, dieser Kurs gibt dir konkrete Tipps Hand, mit denen der nächsten Beförderung nichts im Wege steht!")</f>
        <v>Aktiv nach einer Beförderung fragen? Für viele undenkbar! Doch genau diese Scheu hält dich davon ab, die Karriereleiter zu erklimmen! Nicht verzagen, dieser Kurs gibt dir konkrete Tipps Hand, mit denen der nächsten Beförderung nichts im Wege steht!</v>
      </c>
      <c r="D104" s="8" t="str">
        <f>IFERROR(__xludf.DUMMYFUNCTION("""COMPUTED_VALUE"""),"Actively ask for a promotion? Unthinkable for many! Yet it's this very hesitation that's holding you back from climbing the corporate ladder. Fear not, this course offers concrete advice to clear the way for your next promotion!")</f>
        <v>Actively ask for a promotion? Unthinkable for many! Yet it's this very hesitation that's holding you back from climbing the corporate ladder. Fear not, this course offers concrete advice to clear the way for your next promotion!</v>
      </c>
      <c r="E104" s="9" t="str">
        <f>IFERROR(__xludf.DUMMYFUNCTION("""COMPUTED_VALUE"""),"Global Citizenship")</f>
        <v>Global Citizenship</v>
      </c>
      <c r="F104" s="10" t="str">
        <f>IFERROR(__xludf.DUMMYFUNCTION("""COMPUTED_VALUE"""),"Harvard Business Publishing - ")</f>
        <v>Harvard Business Publishing - </v>
      </c>
      <c r="G104" s="11">
        <f>IFERROR(__xludf.DUMMYFUNCTION("""COMPUTED_VALUE"""),36.0)</f>
        <v>36</v>
      </c>
      <c r="H104" s="11">
        <f>IFERROR(__xludf.DUMMYFUNCTION("""COMPUTED_VALUE"""),6.0)</f>
        <v>6</v>
      </c>
      <c r="I104" s="12" t="str">
        <f>IFERROR(__xludf.DUMMYFUNCTION("""COMPUTED_VALUE"""),"English, German")</f>
        <v>English, German</v>
      </c>
      <c r="J104" s="12" t="str">
        <f>IFERROR(__xludf.DUMMYFUNCTION("""COMPUTED_VALUE"""),"Text only")</f>
        <v>Text only</v>
      </c>
      <c r="K104" s="13">
        <f>IFERROR(__xludf.DUMMYFUNCTION("""COMPUTED_VALUE"""),45243.0)</f>
        <v>45243</v>
      </c>
      <c r="L104" s="14" t="str">
        <f>IFERROR(__xludf.DUMMYFUNCTION("""COMPUTED_VALUE"""),"https://masterplan.com/courses/dein-karriereboost-taktisch-zur-neuen-jobposition")</f>
        <v>https://masterplan.com/courses/dein-karriereboost-taktisch-zur-neuen-jobposition</v>
      </c>
    </row>
    <row r="105">
      <c r="A105" s="15" t="str">
        <f>IFERROR(__xludf.DUMMYFUNCTION("""COMPUTED_VALUE"""),"Emotionale Intelligenz: Selbstmanagement")</f>
        <v>Emotionale Intelligenz: Selbstmanagement</v>
      </c>
      <c r="B105" s="16" t="str">
        <f>IFERROR(__xludf.DUMMYFUNCTION("""COMPUTED_VALUE"""),"Emotional Intelligence: Self-Management")</f>
        <v>Emotional Intelligence: Self-Management</v>
      </c>
      <c r="C105" s="17" t="str">
        <f>IFERROR(__xludf.DUMMYFUNCTION("""COMPUTED_VALUE"""),"Kannst du dich unter Kontrolle halten, wenn du wütend bist? Schaffst du es, dich selbst zu motiveren und wie gut bist du darin, neue Gewohnheiten zu etablieren? Mit dem richtigen Selbstmanagement sind Emotionskontrolle, Motivation und Gewohnheitsbildung e"&amp;"in Kinderspiel!")</f>
        <v>Kannst du dich unter Kontrolle halten, wenn du wütend bist? Schaffst du es, dich selbst zu motiveren und wie gut bist du darin, neue Gewohnheiten zu etablieren? Mit dem richtigen Selbstmanagement sind Emotionskontrolle, Motivation und Gewohnheitsbildung ein Kinderspiel!</v>
      </c>
      <c r="D105" s="17" t="str">
        <f>IFERROR(__xludf.DUMMYFUNCTION("""COMPUTED_VALUE"""),"Can you keep your cool when you get angry? Are you able to motivate yourself, and how adept are you at establishing new habits? With the right self-management, mastering emotional control, motivation, and habit formation becomes a breeze!")</f>
        <v>Can you keep your cool when you get angry? Are you able to motivate yourself, and how adept are you at establishing new habits? With the right self-management, mastering emotional control, motivation, and habit formation becomes a breeze!</v>
      </c>
      <c r="E105" s="24" t="str">
        <f>IFERROR(__xludf.DUMMYFUNCTION("""COMPUTED_VALUE"""),"Emotional Intelligence")</f>
        <v>Emotional Intelligence</v>
      </c>
      <c r="F105" s="19" t="str">
        <f>IFERROR(__xludf.DUMMYFUNCTION("""COMPUTED_VALUE"""),"Sophia Gorgi")</f>
        <v>Sophia Gorgi</v>
      </c>
      <c r="G105" s="20">
        <f>IFERROR(__xludf.DUMMYFUNCTION("""COMPUTED_VALUE"""),40.0)</f>
        <v>40</v>
      </c>
      <c r="H105" s="20">
        <f>IFERROR(__xludf.DUMMYFUNCTION("""COMPUTED_VALUE"""),17.0)</f>
        <v>17</v>
      </c>
      <c r="I105" s="21" t="str">
        <f>IFERROR(__xludf.DUMMYFUNCTION("""COMPUTED_VALUE"""),"English, German")</f>
        <v>English, German</v>
      </c>
      <c r="J105" s="21" t="str">
        <f>IFERROR(__xludf.DUMMYFUNCTION("""COMPUTED_VALUE"""),"English, German")</f>
        <v>English, German</v>
      </c>
      <c r="K105" s="22">
        <f>IFERROR(__xludf.DUMMYFUNCTION("""COMPUTED_VALUE"""),45236.0)</f>
        <v>45236</v>
      </c>
      <c r="L105" s="23" t="str">
        <f>IFERROR(__xludf.DUMMYFUNCTION("""COMPUTED_VALUE"""),"https://masterplan.com/courses/emotionale-intelligenz-selbstmanagement")</f>
        <v>https://masterplan.com/courses/emotionale-intelligenz-selbstmanagement</v>
      </c>
    </row>
    <row r="106">
      <c r="A106" s="6" t="str">
        <f>IFERROR(__xludf.DUMMYFUNCTION("""COMPUTED_VALUE"""),"Gesunder Rücken, gesunder Nacken: So löst du Verspannungen")</f>
        <v>Gesunder Rücken, gesunder Nacken: So löst du Verspannungen</v>
      </c>
      <c r="B106" s="7" t="str">
        <f>IFERROR(__xludf.DUMMYFUNCTION("""COMPUTED_VALUE"""),"n.a.")</f>
        <v>n.a.</v>
      </c>
      <c r="C106" s="8" t="str">
        <f>IFERROR(__xludf.DUMMYFUNCTION("""COMPUTED_VALUE"""),"Vollkommen entspannt: Wir zeigen dir befreiende Mobilisations- und Dehnübungen, mit denen du Verspannungen im Nacken und im Rücken entgegenwirken kannst. Lindere in unter 10 Minuten Beschwerden, die häufig durch langes Sitzen zustande kommen und fühl dich"&amp;" wieder frei!")</f>
        <v>Vollkommen entspannt: Wir zeigen dir befreiende Mobilisations- und Dehnübungen, mit denen du Verspannungen im Nacken und im Rücken entgegenwirken kannst. Lindere in unter 10 Minuten Beschwerden, die häufig durch langes Sitzen zustande kommen und fühl dich wieder frei!</v>
      </c>
      <c r="D106" s="8" t="str">
        <f>IFERROR(__xludf.DUMMYFUNCTION("""COMPUTED_VALUE"""),"n.a.")</f>
        <v>n.a.</v>
      </c>
      <c r="E106" s="24" t="str">
        <f>IFERROR(__xludf.DUMMYFUNCTION("""COMPUTED_VALUE"""),"Emotional Intelligence")</f>
        <v>Emotional Intelligence</v>
      </c>
      <c r="F106" s="10" t="str">
        <f>IFERROR(__xludf.DUMMYFUNCTION("""COMPUTED_VALUE"""),"Ergotopia")</f>
        <v>Ergotopia</v>
      </c>
      <c r="G106" s="11">
        <f>IFERROR(__xludf.DUMMYFUNCTION("""COMPUTED_VALUE"""),7.0)</f>
        <v>7</v>
      </c>
      <c r="H106" s="11">
        <f>IFERROR(__xludf.DUMMYFUNCTION("""COMPUTED_VALUE"""),1.0)</f>
        <v>1</v>
      </c>
      <c r="I106" s="12" t="str">
        <f>IFERROR(__xludf.DUMMYFUNCTION("""COMPUTED_VALUE"""),"German")</f>
        <v>German</v>
      </c>
      <c r="J106" s="12" t="str">
        <f>IFERROR(__xludf.DUMMYFUNCTION("""COMPUTED_VALUE"""),"German")</f>
        <v>German</v>
      </c>
      <c r="K106" s="13">
        <f>IFERROR(__xludf.DUMMYFUNCTION("""COMPUTED_VALUE"""),45236.0)</f>
        <v>45236</v>
      </c>
      <c r="L106" s="14" t="str">
        <f>IFERROR(__xludf.DUMMYFUNCTION("""COMPUTED_VALUE"""),"https://masterplan.com/courses/gesunder-rucken-gesunder-nacken-so-lost-du-verspannungen")</f>
        <v>https://masterplan.com/courses/gesunder-rucken-gesunder-nacken-so-lost-du-verspannungen</v>
      </c>
    </row>
    <row r="107">
      <c r="A107" s="15" t="str">
        <f>IFERROR(__xludf.DUMMYFUNCTION("""COMPUTED_VALUE"""),"Yoga im Büro: Eine einfache Routine für mehr Gesundheit copy")</f>
        <v>Yoga im Büro: Eine einfache Routine für mehr Gesundheit copy</v>
      </c>
      <c r="B107" s="16" t="str">
        <f>IFERROR(__xludf.DUMMYFUNCTION("""COMPUTED_VALUE"""),"n.a.")</f>
        <v>n.a.</v>
      </c>
      <c r="C107" s="17" t="str">
        <f>IFERROR(__xludf.DUMMYFUNCTION("""COMPUTED_VALUE"""),"Vergiss Kobra, Kranich, Krieger – Yoga geht auch ohne komplizierte Verrenkungen! Dieses Video umfasst einfache Yogaübungen, die am Arbeitsplatz möglich sind. Löse in nur 10 Minuten Entspannungen, baue Stress ab und tanke frische Energie für deinen Alltag!")</f>
        <v>Vergiss Kobra, Kranich, Krieger – Yoga geht auch ohne komplizierte Verrenkungen! Dieses Video umfasst einfache Yogaübungen, die am Arbeitsplatz möglich sind. Löse in nur 10 Minuten Entspannungen, baue Stress ab und tanke frische Energie für deinen Alltag!</v>
      </c>
      <c r="D107" s="17" t="str">
        <f>IFERROR(__xludf.DUMMYFUNCTION("""COMPUTED_VALUE"""),"n.a.")</f>
        <v>n.a.</v>
      </c>
      <c r="E107" s="24" t="str">
        <f>IFERROR(__xludf.DUMMYFUNCTION("""COMPUTED_VALUE"""),"Emotional Intelligence")</f>
        <v>Emotional Intelligence</v>
      </c>
      <c r="F107" s="19" t="str">
        <f>IFERROR(__xludf.DUMMYFUNCTION("""COMPUTED_VALUE"""),"Ergotopia")</f>
        <v>Ergotopia</v>
      </c>
      <c r="G107" s="20">
        <f>IFERROR(__xludf.DUMMYFUNCTION("""COMPUTED_VALUE"""),11.0)</f>
        <v>11</v>
      </c>
      <c r="H107" s="20">
        <f>IFERROR(__xludf.DUMMYFUNCTION("""COMPUTED_VALUE"""),1.0)</f>
        <v>1</v>
      </c>
      <c r="I107" s="21" t="str">
        <f>IFERROR(__xludf.DUMMYFUNCTION("""COMPUTED_VALUE"""),"German")</f>
        <v>German</v>
      </c>
      <c r="J107" s="21" t="str">
        <f>IFERROR(__xludf.DUMMYFUNCTION("""COMPUTED_VALUE"""),"German")</f>
        <v>German</v>
      </c>
      <c r="K107" s="22">
        <f>IFERROR(__xludf.DUMMYFUNCTION("""COMPUTED_VALUE"""),45236.0)</f>
        <v>45236</v>
      </c>
      <c r="L107" s="23" t="str">
        <f>IFERROR(__xludf.DUMMYFUNCTION("""COMPUTED_VALUE"""),"https://masterplan.com/courses/yoga-im-buro-eine-einfache-routine-fur-mehr-gesundheit")</f>
        <v>https://masterplan.com/courses/yoga-im-buro-eine-einfache-routine-fur-mehr-gesundheit</v>
      </c>
    </row>
    <row r="108">
      <c r="A108" s="6" t="str">
        <f>IFERROR(__xludf.DUMMYFUNCTION("""COMPUTED_VALUE"""),"Fit &amp; flexibel: Stretching-Übungen für jeden Tag")</f>
        <v>Fit &amp; flexibel: Stretching-Übungen für jeden Tag</v>
      </c>
      <c r="B108" s="7" t="str">
        <f>IFERROR(__xludf.DUMMYFUNCTION("""COMPUTED_VALUE"""),"n.a.")</f>
        <v>n.a.</v>
      </c>
      <c r="C108" s="8" t="str">
        <f>IFERROR(__xludf.DUMMYFUNCTION("""COMPUTED_VALUE"""),"Diese kleine Stretching-Routine verbessert deine Beweglichkeit und kann Schmerzen in Muskeln und Gelenken lindern. Baue gezielt Verspannung ab, die durch einseitige Bewegungsabläufe im Büro entstehen und schenke deinen Muskeln eine kleine Auszeit!")</f>
        <v>Diese kleine Stretching-Routine verbessert deine Beweglichkeit und kann Schmerzen in Muskeln und Gelenken lindern. Baue gezielt Verspannung ab, die durch einseitige Bewegungsabläufe im Büro entstehen und schenke deinen Muskeln eine kleine Auszeit!</v>
      </c>
      <c r="D108" s="8" t="str">
        <f>IFERROR(__xludf.DUMMYFUNCTION("""COMPUTED_VALUE"""),"n.a.")</f>
        <v>n.a.</v>
      </c>
      <c r="E108" s="24" t="str">
        <f>IFERROR(__xludf.DUMMYFUNCTION("""COMPUTED_VALUE"""),"Emotional Intelligence")</f>
        <v>Emotional Intelligence</v>
      </c>
      <c r="F108" s="10" t="str">
        <f>IFERROR(__xludf.DUMMYFUNCTION("""COMPUTED_VALUE"""),"Ergotopia")</f>
        <v>Ergotopia</v>
      </c>
      <c r="G108" s="11">
        <f>IFERROR(__xludf.DUMMYFUNCTION("""COMPUTED_VALUE"""),16.0)</f>
        <v>16</v>
      </c>
      <c r="H108" s="11">
        <f>IFERROR(__xludf.DUMMYFUNCTION("""COMPUTED_VALUE"""),1.0)</f>
        <v>1</v>
      </c>
      <c r="I108" s="12" t="str">
        <f>IFERROR(__xludf.DUMMYFUNCTION("""COMPUTED_VALUE"""),"German")</f>
        <v>German</v>
      </c>
      <c r="J108" s="12" t="str">
        <f>IFERROR(__xludf.DUMMYFUNCTION("""COMPUTED_VALUE"""),"German")</f>
        <v>German</v>
      </c>
      <c r="K108" s="13">
        <f>IFERROR(__xludf.DUMMYFUNCTION("""COMPUTED_VALUE"""),45236.0)</f>
        <v>45236</v>
      </c>
      <c r="L108" s="14" t="str">
        <f>IFERROR(__xludf.DUMMYFUNCTION("""COMPUTED_VALUE"""),"https://masterplan.com/courses/fit-flexibel-stretching-ubungen-fur-jeden-tag")</f>
        <v>https://masterplan.com/courses/fit-flexibel-stretching-ubungen-fur-jeden-tag</v>
      </c>
    </row>
    <row r="109">
      <c r="A109" s="15" t="str">
        <f>IFERROR(__xludf.DUMMYFUNCTION("""COMPUTED_VALUE"""),"Wie man im Beruf Unterstützung gewinnt und Menschen beeinflusst")</f>
        <v>Wie man im Beruf Unterstützung gewinnt und Menschen beeinflusst</v>
      </c>
      <c r="B109" s="16" t="str">
        <f>IFERROR(__xludf.DUMMYFUNCTION("""COMPUTED_VALUE"""),"How to Win Support and Influence People– At Work")</f>
        <v>How to Win Support and Influence People– At Work</v>
      </c>
      <c r="C109" s="17" t="str">
        <f>IFERROR(__xludf.DUMMYFUNCTION("""COMPUTED_VALUE"""),"Auch die besten Ideen benötigen Unterstützung – wer unterstützt also deine genialen Ideen? In diesem Kurs zeigen wir dir praktische Schritte, um Unterstützung für deine Ideen und deine Karriere zu erhalten, indem du deine Stimme zu einer machst, der ander"&amp;"e zuhören!")</f>
        <v>Auch die besten Ideen benötigen Unterstützung – wer unterstützt also deine genialen Ideen? In diesem Kurs zeigen wir dir praktische Schritte, um Unterstützung für deine Ideen und deine Karriere zu erhalten, indem du deine Stimme zu einer machst, der andere zuhören!</v>
      </c>
      <c r="D109" s="17" t="str">
        <f>IFERROR(__xludf.DUMMYFUNCTION("""COMPUTED_VALUE"""),"Even the best of ideas need support to get off the ground– so who do you have supporting your great ideas? In this course, learn practical steps to get support for your ideas and your career by making your voice one that others listen to!")</f>
        <v>Even the best of ideas need support to get off the ground– so who do you have supporting your great ideas? In this course, learn practical steps to get support for your ideas and your career by making your voice one that others listen to!</v>
      </c>
      <c r="E109" s="28" t="str">
        <f>IFERROR(__xludf.DUMMYFUNCTION("""COMPUTED_VALUE"""),"Communication")</f>
        <v>Communication</v>
      </c>
      <c r="F109" s="19" t="str">
        <f>IFERROR(__xludf.DUMMYFUNCTION("""COMPUTED_VALUE"""),"Harvard Business Publishing - ")</f>
        <v>Harvard Business Publishing - </v>
      </c>
      <c r="G109" s="20">
        <f>IFERROR(__xludf.DUMMYFUNCTION("""COMPUTED_VALUE"""),31.0)</f>
        <v>31</v>
      </c>
      <c r="H109" s="20">
        <f>IFERROR(__xludf.DUMMYFUNCTION("""COMPUTED_VALUE"""),9.0)</f>
        <v>9</v>
      </c>
      <c r="I109" s="21" t="str">
        <f>IFERROR(__xludf.DUMMYFUNCTION("""COMPUTED_VALUE"""),"English, German")</f>
        <v>English, German</v>
      </c>
      <c r="J109" s="21" t="str">
        <f>IFERROR(__xludf.DUMMYFUNCTION("""COMPUTED_VALUE"""),"English")</f>
        <v>English</v>
      </c>
      <c r="K109" s="22">
        <f>IFERROR(__xludf.DUMMYFUNCTION("""COMPUTED_VALUE"""),45230.0)</f>
        <v>45230</v>
      </c>
      <c r="L109" s="23" t="str">
        <f>IFERROR(__xludf.DUMMYFUNCTION("""COMPUTED_VALUE"""),"https://masterplan.com/courses/wie-man-im-beruf-unterstutzung-gewinnt-und-menschen-beeinflusst")</f>
        <v>https://masterplan.com/courses/wie-man-im-beruf-unterstutzung-gewinnt-und-menschen-beeinflusst</v>
      </c>
    </row>
    <row r="110">
      <c r="A110" s="6" t="str">
        <f>IFERROR(__xludf.DUMMYFUNCTION("""COMPUTED_VALUE"""),"Emotionale Intelligenz für Führungskräfte")</f>
        <v>Emotionale Intelligenz für Führungskräfte</v>
      </c>
      <c r="B110" s="7" t="str">
        <f>IFERROR(__xludf.DUMMYFUNCTION("""COMPUTED_VALUE"""),"Emotional Intelligence for Managers")</f>
        <v>Emotional Intelligence for Managers</v>
      </c>
      <c r="C110" s="8" t="str">
        <f>IFERROR(__xludf.DUMMYFUNCTION("""COMPUTED_VALUE"""),"Als Führungskraft solltest du nicht nur dein Unternehmen verstehen, sondern auch deine Mitarbeitenden. Verbessere deine Führungsqualitäten, meistere emotionale Intelligenz und hilf deinem Team dabei, sich selbst zu helfen und den gemeinsamen Erfolg voranz"&amp;"utreiben.")</f>
        <v>Als Führungskraft solltest du nicht nur dein Unternehmen verstehen, sondern auch deine Mitarbeitenden. Verbessere deine Führungsqualitäten, meistere emotionale Intelligenz und hilf deinem Team dabei, sich selbst zu helfen und den gemeinsamen Erfolg voranzutreiben.</v>
      </c>
      <c r="D110" s="8" t="str">
        <f>IFERROR(__xludf.DUMMYFUNCTION("""COMPUTED_VALUE"""),"Leadership isn't just about understanding your business– it's about understanding your people. Elevate your leadership by mastering emotional intelligence, so you can empower your team to empower themselves and drive collective success. ")</f>
        <v>Leadership isn't just about understanding your business– it's about understanding your people. Elevate your leadership by mastering emotional intelligence, so you can empower your team to empower themselves and drive collective success. </v>
      </c>
      <c r="E110" s="24" t="str">
        <f>IFERROR(__xludf.DUMMYFUNCTION("""COMPUTED_VALUE"""),"Emotional Intelligence")</f>
        <v>Emotional Intelligence</v>
      </c>
      <c r="F110" s="10" t="str">
        <f>IFERROR(__xludf.DUMMYFUNCTION("""COMPUTED_VALUE"""),"Harvard Business Publishing - ")</f>
        <v>Harvard Business Publishing - </v>
      </c>
      <c r="G110" s="11">
        <f>IFERROR(__xludf.DUMMYFUNCTION("""COMPUTED_VALUE"""),47.0)</f>
        <v>47</v>
      </c>
      <c r="H110" s="11">
        <f>IFERROR(__xludf.DUMMYFUNCTION("""COMPUTED_VALUE"""),13.0)</f>
        <v>13</v>
      </c>
      <c r="I110" s="12" t="str">
        <f>IFERROR(__xludf.DUMMYFUNCTION("""COMPUTED_VALUE"""),"English, German")</f>
        <v>English, German</v>
      </c>
      <c r="J110" s="12" t="str">
        <f>IFERROR(__xludf.DUMMYFUNCTION("""COMPUTED_VALUE"""),"English")</f>
        <v>English</v>
      </c>
      <c r="K110" s="13">
        <f>IFERROR(__xludf.DUMMYFUNCTION("""COMPUTED_VALUE"""),45230.0)</f>
        <v>45230</v>
      </c>
      <c r="L110" s="14" t="str">
        <f>IFERROR(__xludf.DUMMYFUNCTION("""COMPUTED_VALUE"""),"https://masterplan.com/courses/emotionale-intelligenz-fur-fuhrungskrafte")</f>
        <v>https://masterplan.com/courses/emotionale-intelligenz-fur-fuhrungskrafte</v>
      </c>
    </row>
    <row r="111">
      <c r="A111" s="15" t="str">
        <f>IFERROR(__xludf.DUMMYFUNCTION("""COMPUTED_VALUE"""),"Emotionale Intelligenz leicht gemacht!")</f>
        <v>Emotionale Intelligenz leicht gemacht!</v>
      </c>
      <c r="B111" s="16" t="str">
        <f>IFERROR(__xludf.DUMMYFUNCTION("""COMPUTED_VALUE"""),"Emotional Intelligence Made Easy!")</f>
        <v>Emotional Intelligence Made Easy!</v>
      </c>
      <c r="C111" s="17" t="str">
        <f>IFERROR(__xludf.DUMMYFUNCTION("""COMPUTED_VALUE"""),"You're not the only one with mixed emotions: Schon die Rolling Stones wussten von der Crux der Gefühle. Mit emotionaler Intelligenz meisterst du deine Emotionen – was unter anderem einen positiven Einfluss auf dein Berufsleben hat!")</f>
        <v>You're not the only one with mixed emotions: Schon die Rolling Stones wussten von der Crux der Gefühle. Mit emotionaler Intelligenz meisterst du deine Emotionen – was unter anderem einen positiven Einfluss auf dein Berufsleben hat!</v>
      </c>
      <c r="D111" s="17" t="str">
        <f>IFERROR(__xludf.DUMMYFUNCTION("""COMPUTED_VALUE"""),"You're not the only one with mixed emotions: Even the Rolling Stones sang about the complexities of our feelings. With emotional intelligence, you can master your emotions, which can have a positive impact on your professional life and beyond")</f>
        <v>You're not the only one with mixed emotions: Even the Rolling Stones sang about the complexities of our feelings. With emotional intelligence, you can master your emotions, which can have a positive impact on your professional life and beyond</v>
      </c>
      <c r="E111" s="24" t="str">
        <f>IFERROR(__xludf.DUMMYFUNCTION("""COMPUTED_VALUE"""),"Emotional Intelligence")</f>
        <v>Emotional Intelligence</v>
      </c>
      <c r="F111" s="19" t="str">
        <f>IFERROR(__xludf.DUMMYFUNCTION("""COMPUTED_VALUE"""),"Harvard Business Publishing - ")</f>
        <v>Harvard Business Publishing - </v>
      </c>
      <c r="G111" s="20">
        <f>IFERROR(__xludf.DUMMYFUNCTION("""COMPUTED_VALUE"""),49.0)</f>
        <v>49</v>
      </c>
      <c r="H111" s="20">
        <f>IFERROR(__xludf.DUMMYFUNCTION("""COMPUTED_VALUE"""),13.0)</f>
        <v>13</v>
      </c>
      <c r="I111" s="21" t="str">
        <f>IFERROR(__xludf.DUMMYFUNCTION("""COMPUTED_VALUE"""),"English, German")</f>
        <v>English, German</v>
      </c>
      <c r="J111" s="21" t="str">
        <f>IFERROR(__xludf.DUMMYFUNCTION("""COMPUTED_VALUE"""),"Text only")</f>
        <v>Text only</v>
      </c>
      <c r="K111" s="22">
        <f>IFERROR(__xludf.DUMMYFUNCTION("""COMPUTED_VALUE"""),45224.0)</f>
        <v>45224</v>
      </c>
      <c r="L111" s="23" t="str">
        <f>IFERROR(__xludf.DUMMYFUNCTION("""COMPUTED_VALUE"""),"https://masterplan.com/courses/emotionale-intelligenz-leicht-gemacht")</f>
        <v>https://masterplan.com/courses/emotionale-intelligenz-leicht-gemacht</v>
      </c>
    </row>
    <row r="112">
      <c r="A112" s="6" t="str">
        <f>IFERROR(__xludf.DUMMYFUNCTION("""COMPUTED_VALUE"""),"Die Gewohnheit, die deine Karriere verbessern könnte")</f>
        <v>Die Gewohnheit, die deine Karriere verbessern könnte</v>
      </c>
      <c r="B112" s="7" t="str">
        <f>IFERROR(__xludf.DUMMYFUNCTION("""COMPUTED_VALUE"""),"The Habit That Could Improve Your Career")</f>
        <v>The Habit That Could Improve Your Career</v>
      </c>
      <c r="C112" s="8" t="str">
        <f>IFERROR(__xludf.DUMMYFUNCTION("""COMPUTED_VALUE"""),"Fehler sind nur dann Fehler, wenn du nicht aus ihnen lernst. Hier kommt die Kraft der Reflexion ins Spiel. Erfahre, wie du Reflexion nutzt, um aus jeder Situation so viel wie möglich zu lernen und so den besten Karriereweg für dich zu finden.")</f>
        <v>Fehler sind nur dann Fehler, wenn du nicht aus ihnen lernst. Hier kommt die Kraft der Reflexion ins Spiel. Erfahre, wie du Reflexion nutzt, um aus jeder Situation so viel wie möglich zu lernen und so den besten Karriereweg für dich zu finden.</v>
      </c>
      <c r="D112" s="8" t="str">
        <f>IFERROR(__xludf.DUMMYFUNCTION("""COMPUTED_VALUE"""),"Mistakes are only mistakes if you don't learn from them. That's where the power of reflection comes in. Learn how to use reflection to learn the most you can from every situation, so you can find the best career path for you.")</f>
        <v>Mistakes are only mistakes if you don't learn from them. That's where the power of reflection comes in. Learn how to use reflection to learn the most you can from every situation, so you can find the best career path for you.</v>
      </c>
      <c r="E112" s="24" t="str">
        <f>IFERROR(__xludf.DUMMYFUNCTION("""COMPUTED_VALUE"""),"Emotional Intelligence")</f>
        <v>Emotional Intelligence</v>
      </c>
      <c r="F112" s="10" t="str">
        <f>IFERROR(__xludf.DUMMYFUNCTION("""COMPUTED_VALUE"""),"TED - ")</f>
        <v>TED - </v>
      </c>
      <c r="G112" s="11">
        <f>IFERROR(__xludf.DUMMYFUNCTION("""COMPUTED_VALUE"""),11.0)</f>
        <v>11</v>
      </c>
      <c r="H112" s="11">
        <f>IFERROR(__xludf.DUMMYFUNCTION("""COMPUTED_VALUE"""),3.0)</f>
        <v>3</v>
      </c>
      <c r="I112" s="12" t="str">
        <f>IFERROR(__xludf.DUMMYFUNCTION("""COMPUTED_VALUE"""),"English, German")</f>
        <v>English, German</v>
      </c>
      <c r="J112" s="12" t="str">
        <f>IFERROR(__xludf.DUMMYFUNCTION("""COMPUTED_VALUE"""),"English")</f>
        <v>English</v>
      </c>
      <c r="K112" s="13">
        <f>IFERROR(__xludf.DUMMYFUNCTION("""COMPUTED_VALUE"""),45224.0)</f>
        <v>45224</v>
      </c>
      <c r="L112" s="14" t="str">
        <f>IFERROR(__xludf.DUMMYFUNCTION("""COMPUTED_VALUE"""),"https://masterplan.com/courses/die-gewohnheit-die-deine-karriere-verbessern-konnte")</f>
        <v>https://masterplan.com/courses/die-gewohnheit-die-deine-karriere-verbessern-konnte</v>
      </c>
    </row>
    <row r="113">
      <c r="A113" s="15" t="str">
        <f>IFERROR(__xludf.DUMMYFUNCTION("""COMPUTED_VALUE"""),"Löse mit diesen 5 Schritten jedes Problem am Arbeitsplatz ")</f>
        <v>Löse mit diesen 5 Schritten jedes Problem am Arbeitsplatz </v>
      </c>
      <c r="B113" s="16" t="str">
        <f>IFERROR(__xludf.DUMMYFUNCTION("""COMPUTED_VALUE"""),"5 Steps to Fix Any Problem at Work")</f>
        <v>5 Steps to Fix Any Problem at Work</v>
      </c>
      <c r="C113" s="17" t="str">
        <f>IFERROR(__xludf.DUMMYFUNCTION("""COMPUTED_VALUE"""),"Wenn es nach Mark Zuckerberg ginge, sollten wir ""Schnell handeln und Dinge kaputt machen"". In diesem TED Talk schlägt Anne Morris jedoch einen anderen komplett Ansatz zur Problemlösung vor: Schnell handeln und Dinge reparieren.")</f>
        <v>Wenn es nach Mark Zuckerberg ginge, sollten wir "Schnell handeln und Dinge kaputt machen". In diesem TED Talk schlägt Anne Morris jedoch einen anderen komplett Ansatz zur Problemlösung vor: Schnell handeln und Dinge reparieren.</v>
      </c>
      <c r="D113" s="17" t="str">
        <f>IFERROR(__xludf.DUMMYFUNCTION("""COMPUTED_VALUE"""),"According to Mark Zuckerberg, we should ""Move fast and break things"", but in this TED Talk, Anne Morris proposes a different approach to solving problems that prevents other problems in the future– Move fast and fix things. ")</f>
        <v>According to Mark Zuckerberg, we should "Move fast and break things", but in this TED Talk, Anne Morris proposes a different approach to solving problems that prevents other problems in the future– Move fast and fix things. </v>
      </c>
      <c r="E113" s="24" t="str">
        <f>IFERROR(__xludf.DUMMYFUNCTION("""COMPUTED_VALUE"""),"Emotional Intelligence")</f>
        <v>Emotional Intelligence</v>
      </c>
      <c r="F113" s="19" t="str">
        <f>IFERROR(__xludf.DUMMYFUNCTION("""COMPUTED_VALUE"""),"TED - ")</f>
        <v>TED - </v>
      </c>
      <c r="G113" s="20">
        <f>IFERROR(__xludf.DUMMYFUNCTION("""COMPUTED_VALUE"""),12.0)</f>
        <v>12</v>
      </c>
      <c r="H113" s="20">
        <f>IFERROR(__xludf.DUMMYFUNCTION("""COMPUTED_VALUE"""),3.0)</f>
        <v>3</v>
      </c>
      <c r="I113" s="21" t="str">
        <f>IFERROR(__xludf.DUMMYFUNCTION("""COMPUTED_VALUE"""),"English, German")</f>
        <v>English, German</v>
      </c>
      <c r="J113" s="21" t="str">
        <f>IFERROR(__xludf.DUMMYFUNCTION("""COMPUTED_VALUE"""),"English")</f>
        <v>English</v>
      </c>
      <c r="K113" s="22">
        <f>IFERROR(__xludf.DUMMYFUNCTION("""COMPUTED_VALUE"""),45224.0)</f>
        <v>45224</v>
      </c>
      <c r="L113" s="23" t="str">
        <f>IFERROR(__xludf.DUMMYFUNCTION("""COMPUTED_VALUE"""),"https://masterplan.com/courses/lose-mit-diesen-5-schritten-jedes-problem-am-arbeitsplatz")</f>
        <v>https://masterplan.com/courses/lose-mit-diesen-5-schritten-jedes-problem-am-arbeitsplatz</v>
      </c>
    </row>
    <row r="114">
      <c r="A114" s="6" t="str">
        <f>IFERROR(__xludf.DUMMYFUNCTION("""COMPUTED_VALUE"""),"Wie Führungskräfte mutig für Inklusion eintreten können")</f>
        <v>Wie Führungskräfte mutig für Inklusion eintreten können</v>
      </c>
      <c r="B114" s="7" t="str">
        <f>IFERROR(__xludf.DUMMYFUNCTION("""COMPUTED_VALUE"""),"We Need Leaders Who Boldly Champion Inclusion")</f>
        <v>We Need Leaders Who Boldly Champion Inclusion</v>
      </c>
      <c r="C114" s="8" t="str">
        <f>IFERROR(__xludf.DUMMYFUNCTION("""COMPUTED_VALUE"""),"Gute Führungskräfte wissen, wie man den Status quo durchbricht. Warum nicht auch beim Thema Inklusion? Erfahre, wie Führungspersönlichkeiten diese wertvolle Ressource nutzen, um ihre Organisationen zu verbessern – und wie auch du zum Innovator wirst.")</f>
        <v>Gute Führungskräfte wissen, wie man den Status quo durchbricht. Warum nicht auch beim Thema Inklusion? Erfahre, wie Führungspersönlichkeiten diese wertvolle Ressource nutzen, um ihre Organisationen zu verbessern – und wie auch du zum Innovator wirst.</v>
      </c>
      <c r="D114" s="8" t="str">
        <f>IFERROR(__xludf.DUMMYFUNCTION("""COMPUTED_VALUE"""),"Great leaders know how to disrupt the status quo. Why not apply that to inclusion? Learn how leaders have tapped into this valuable resource to improve their organizations and their communities– and how you can become a disrupter too.")</f>
        <v>Great leaders know how to disrupt the status quo. Why not apply that to inclusion? Learn how leaders have tapped into this valuable resource to improve their organizations and their communities– and how you can become a disrupter too.</v>
      </c>
      <c r="E114" s="9" t="str">
        <f>IFERROR(__xludf.DUMMYFUNCTION("""COMPUTED_VALUE"""),"Global Citizenship")</f>
        <v>Global Citizenship</v>
      </c>
      <c r="F114" s="10" t="str">
        <f>IFERROR(__xludf.DUMMYFUNCTION("""COMPUTED_VALUE"""),"TED - ")</f>
        <v>TED - </v>
      </c>
      <c r="G114" s="11">
        <f>IFERROR(__xludf.DUMMYFUNCTION("""COMPUTED_VALUE"""),15.0)</f>
        <v>15</v>
      </c>
      <c r="H114" s="11">
        <f>IFERROR(__xludf.DUMMYFUNCTION("""COMPUTED_VALUE"""),3.0)</f>
        <v>3</v>
      </c>
      <c r="I114" s="12" t="str">
        <f>IFERROR(__xludf.DUMMYFUNCTION("""COMPUTED_VALUE"""),"English, German")</f>
        <v>English, German</v>
      </c>
      <c r="J114" s="12" t="str">
        <f>IFERROR(__xludf.DUMMYFUNCTION("""COMPUTED_VALUE"""),"English")</f>
        <v>English</v>
      </c>
      <c r="K114" s="13">
        <f>IFERROR(__xludf.DUMMYFUNCTION("""COMPUTED_VALUE"""),45224.0)</f>
        <v>45224</v>
      </c>
      <c r="L114" s="14" t="str">
        <f>IFERROR(__xludf.DUMMYFUNCTION("""COMPUTED_VALUE"""),"https://masterplan.com/courses/wie-fuhrungskrafte-mutig-fur-inklusion-eintreten-konnen")</f>
        <v>https://masterplan.com/courses/wie-fuhrungskrafte-mutig-fur-inklusion-eintreten-konnen</v>
      </c>
    </row>
    <row r="115">
      <c r="A115" s="15" t="str">
        <f>IFERROR(__xludf.DUMMYFUNCTION("""COMPUTED_VALUE"""),"Emotionale Intelligenz: Selbstwahrnehmung")</f>
        <v>Emotionale Intelligenz: Selbstwahrnehmung</v>
      </c>
      <c r="B115" s="16" t="str">
        <f>IFERROR(__xludf.DUMMYFUNCTION("""COMPUTED_VALUE"""),"Emotional Intelligence: Self-Awareness")</f>
        <v>Emotional Intelligence: Self-Awareness</v>
      </c>
      <c r="C115" s="17" t="str">
        <f>IFERROR(__xludf.DUMMYFUNCTION("""COMPUTED_VALUE"""),"Viel Wissenschaft und kein bisschen esoterisch! Menschen mit einer hohen Selbstwahrnehmung sind erfolgreicher und tendenziell zufriedener im Leben. Das Problem: Selbstwahrnehmung ist eine seltene Fähigkeit. Eine Fähigkeit, an der wir allerdings arbeiten k"&amp;"önnen...")</f>
        <v>Viel Wissenschaft und kein bisschen esoterisch! Menschen mit einer hohen Selbstwahrnehmung sind erfolgreicher und tendenziell zufriedener im Leben. Das Problem: Selbstwahrnehmung ist eine seltene Fähigkeit. Eine Fähigkeit, an der wir allerdings arbeiten können...</v>
      </c>
      <c r="D115" s="17" t="str">
        <f>IFERROR(__xludf.DUMMYFUNCTION("""COMPUTED_VALUE"""),"Let's talk science! People with high self-awareness tend to be more successful and generally happier in life. The catch? Self-awareness is a rare skill. But it's a skill we can develop...")</f>
        <v>Let's talk science! People with high self-awareness tend to be more successful and generally happier in life. The catch? Self-awareness is a rare skill. But it's a skill we can develop...</v>
      </c>
      <c r="E115" s="24" t="str">
        <f>IFERROR(__xludf.DUMMYFUNCTION("""COMPUTED_VALUE"""),"Emotional Intelligence")</f>
        <v>Emotional Intelligence</v>
      </c>
      <c r="F115" s="19" t="str">
        <f>IFERROR(__xludf.DUMMYFUNCTION("""COMPUTED_VALUE"""),"Sophia Gorgi")</f>
        <v>Sophia Gorgi</v>
      </c>
      <c r="G115" s="20">
        <f>IFERROR(__xludf.DUMMYFUNCTION("""COMPUTED_VALUE"""),32.0)</f>
        <v>32</v>
      </c>
      <c r="H115" s="20">
        <f>IFERROR(__xludf.DUMMYFUNCTION("""COMPUTED_VALUE"""),14.0)</f>
        <v>14</v>
      </c>
      <c r="I115" s="21" t="str">
        <f>IFERROR(__xludf.DUMMYFUNCTION("""COMPUTED_VALUE"""),"English, German")</f>
        <v>English, German</v>
      </c>
      <c r="J115" s="21" t="str">
        <f>IFERROR(__xludf.DUMMYFUNCTION("""COMPUTED_VALUE"""),"English, German")</f>
        <v>English, German</v>
      </c>
      <c r="K115" s="22">
        <f>IFERROR(__xludf.DUMMYFUNCTION("""COMPUTED_VALUE"""),45224.0)</f>
        <v>45224</v>
      </c>
      <c r="L115" s="23" t="str">
        <f>IFERROR(__xludf.DUMMYFUNCTION("""COMPUTED_VALUE"""),"https://masterplan.com/courses/emotionale-intelligenz-selbstwahrnehmung")</f>
        <v>https://masterplan.com/courses/emotionale-intelligenz-selbstwahrnehmung</v>
      </c>
    </row>
    <row r="116">
      <c r="A116" s="6" t="str">
        <f>IFERROR(__xludf.DUMMYFUNCTION("""COMPUTED_VALUE"""),"Wie man Mitarbeitenden mit Behinderung zum Erfolg verhilft")</f>
        <v>Wie man Mitarbeitenden mit Behinderung zum Erfolg verhilft</v>
      </c>
      <c r="B116" s="7" t="str">
        <f>IFERROR(__xludf.DUMMYFUNCTION("""COMPUTED_VALUE"""),"How to Help Employees with Disabilities Thrive")</f>
        <v>How to Help Employees with Disabilities Thrive</v>
      </c>
      <c r="C116" s="8" t="str">
        <f>IFERROR(__xludf.DUMMYFUNCTION("""COMPUTED_VALUE"""),"Behinderung ist oft der Ursprung unglaublicher Innovationen gewesen. Warum diese Perspektive außen vor lassen? In diesem Video lernst du 3 Dinge, die jeder Arbeitsplatz tun kann, um Mitarbeitenden mit Behinderung unbegrenzte Möglichkeiten zu schaffen.")</f>
        <v>Behinderung ist oft der Ursprung unglaublicher Innovationen gewesen. Warum diese Perspektive außen vor lassen? In diesem Video lernst du 3 Dinge, die jeder Arbeitsplatz tun kann, um Mitarbeitenden mit Behinderung unbegrenzte Möglichkeiten zu schaffen.</v>
      </c>
      <c r="D116" s="8" t="str">
        <f>IFERROR(__xludf.DUMMYFUNCTION("""COMPUTED_VALUE"""),"Disability has been the root of an incredible amount of innovation. Why leave that perspective out? In this quick video, you'll learn 3 things that any workplace can do to truly welcome employees with disabilities.")</f>
        <v>Disability has been the root of an incredible amount of innovation. Why leave that perspective out? In this quick video, you'll learn 3 things that any workplace can do to truly welcome employees with disabilities.</v>
      </c>
      <c r="E116" s="9" t="str">
        <f>IFERROR(__xludf.DUMMYFUNCTION("""COMPUTED_VALUE"""),"Global Citizenship")</f>
        <v>Global Citizenship</v>
      </c>
      <c r="F116" s="10" t="str">
        <f>IFERROR(__xludf.DUMMYFUNCTION("""COMPUTED_VALUE"""),"TED - ")</f>
        <v>TED - </v>
      </c>
      <c r="G116" s="11">
        <f>IFERROR(__xludf.DUMMYFUNCTION("""COMPUTED_VALUE"""),5.0)</f>
        <v>5</v>
      </c>
      <c r="H116" s="11">
        <f>IFERROR(__xludf.DUMMYFUNCTION("""COMPUTED_VALUE"""),3.0)</f>
        <v>3</v>
      </c>
      <c r="I116" s="12" t="str">
        <f>IFERROR(__xludf.DUMMYFUNCTION("""COMPUTED_VALUE"""),"English, German")</f>
        <v>English, German</v>
      </c>
      <c r="J116" s="12" t="str">
        <f>IFERROR(__xludf.DUMMYFUNCTION("""COMPUTED_VALUE"""),"English")</f>
        <v>English</v>
      </c>
      <c r="K116" s="13">
        <f>IFERROR(__xludf.DUMMYFUNCTION("""COMPUTED_VALUE"""),45219.0)</f>
        <v>45219</v>
      </c>
      <c r="L116" s="14" t="str">
        <f>IFERROR(__xludf.DUMMYFUNCTION("""COMPUTED_VALUE"""),"https://masterplan.com/courses/wie-man-mitarbeitenden-mit-behinderung-zum-erfolg-verhilft")</f>
        <v>https://masterplan.com/courses/wie-man-mitarbeitenden-mit-behinderung-zum-erfolg-verhilft</v>
      </c>
    </row>
    <row r="117">
      <c r="A117" s="15" t="str">
        <f>IFERROR(__xludf.DUMMYFUNCTION("""COMPUTED_VALUE"""),"Das Sympathie-Dilemma von Frauen in der Führungsrolle")</f>
        <v>Das Sympathie-Dilemma von Frauen in der Führungsrolle</v>
      </c>
      <c r="B117" s="16" t="str">
        <f>IFERROR(__xludf.DUMMYFUNCTION("""COMPUTED_VALUE"""),"The Likability Dilemma for Women Leaders")</f>
        <v>The Likability Dilemma for Women Leaders</v>
      </c>
      <c r="C117" s="17" t="str">
        <f>IFERROR(__xludf.DUMMYFUNCTION("""COMPUTED_VALUE"""),"Gefürchtet oder geliebt – was ist für eine Führungskraft besser? Für Frauen in Führungspositionen lautet die Antwort weder noch – und sowohl als auch! Erfahre mehr über das ""Sympathie-Dilemma"" und wie man weiblichen Führungskräften die gleichen Erfolgsc"&amp;"hancen einräumt.")</f>
        <v>Gefürchtet oder geliebt – was ist für eine Führungskraft besser? Für Frauen in Führungspositionen lautet die Antwort weder noch – und sowohl als auch! Erfahre mehr über das "Sympathie-Dilemma" und wie man weiblichen Führungskräften die gleichen Erfolgschancen einräumt.</v>
      </c>
      <c r="D117" s="17" t="str">
        <f>IFERROR(__xludf.DUMMYFUNCTION("""COMPUTED_VALUE"""),"Is it better for a leader to be feared or loved? For women in leadership, the answer is neither– and both. Learn about the effects of the ""Likability dilemma"", and how to make sure women leaders have an equal shot at success.")</f>
        <v>Is it better for a leader to be feared or loved? For women in leadership, the answer is neither– and both. Learn about the effects of the "Likability dilemma", and how to make sure women leaders have an equal shot at success.</v>
      </c>
      <c r="E117" s="24" t="str">
        <f>IFERROR(__xludf.DUMMYFUNCTION("""COMPUTED_VALUE"""),"Emotional Intelligence")</f>
        <v>Emotional Intelligence</v>
      </c>
      <c r="F117" s="19" t="str">
        <f>IFERROR(__xludf.DUMMYFUNCTION("""COMPUTED_VALUE"""),"TED - ")</f>
        <v>TED - </v>
      </c>
      <c r="G117" s="20">
        <f>IFERROR(__xludf.DUMMYFUNCTION("""COMPUTED_VALUE"""),10.0)</f>
        <v>10</v>
      </c>
      <c r="H117" s="20">
        <f>IFERROR(__xludf.DUMMYFUNCTION("""COMPUTED_VALUE"""),3.0)</f>
        <v>3</v>
      </c>
      <c r="I117" s="21" t="str">
        <f>IFERROR(__xludf.DUMMYFUNCTION("""COMPUTED_VALUE"""),"English, German")</f>
        <v>English, German</v>
      </c>
      <c r="J117" s="21" t="str">
        <f>IFERROR(__xludf.DUMMYFUNCTION("""COMPUTED_VALUE"""),"English")</f>
        <v>English</v>
      </c>
      <c r="K117" s="22">
        <f>IFERROR(__xludf.DUMMYFUNCTION("""COMPUTED_VALUE"""),45219.0)</f>
        <v>45219</v>
      </c>
      <c r="L117" s="23" t="str">
        <f>IFERROR(__xludf.DUMMYFUNCTION("""COMPUTED_VALUE"""),"https://masterplan.com/courses/das-sympathie-dilemma-von-frauen-in-der-fuhrungsrolle")</f>
        <v>https://masterplan.com/courses/das-sympathie-dilemma-von-frauen-in-der-fuhrungsrolle</v>
      </c>
    </row>
    <row r="118">
      <c r="A118" s="6" t="str">
        <f>IFERROR(__xludf.DUMMYFUNCTION("""COMPUTED_VALUE"""),"Baue ein Unternehmen auf, in dem die besten Ideen gewinnen!")</f>
        <v>Baue ein Unternehmen auf, in dem die besten Ideen gewinnen!</v>
      </c>
      <c r="B118" s="7" t="str">
        <f>IFERROR(__xludf.DUMMYFUNCTION("""COMPUTED_VALUE"""),"How to Build a Company Where the Best Ideas Win")</f>
        <v>How to Build a Company Where the Best Ideas Win</v>
      </c>
      <c r="C118" s="8" t="str">
        <f>IFERROR(__xludf.DUMMYFUNCTION("""COMPUTED_VALUE"""),"Wie kannst du sicherstellen, dass dein Unternehmen eine ""Ideen-Meritokratie"" ist? Lerne von einem Milliardär, Hedgefonds-Manager und Investor, welche Faktoren wirklich zum Erfolg eines Unternehmens beitragen und wie du gegen den Konsens wettest und dabe"&amp;"i richtig liegst.")</f>
        <v>Wie kannst du sicherstellen, dass dein Unternehmen eine "Ideen-Meritokratie" ist? Lerne von einem Milliardär, Hedgefonds-Manager und Investor, welche Faktoren wirklich zum Erfolg eines Unternehmens beitragen und wie du gegen den Konsens wettest und dabei richtig liegst.</v>
      </c>
      <c r="D118" s="8" t="str">
        <f>IFERROR(__xludf.DUMMYFUNCTION("""COMPUTED_VALUE"""),"How can you make sure your organization is an ""idea meritocracy""? Learn from a billionaire hedge fund manager and investor what factors really make a company succeed, and how to bet against the consensus and be right.")</f>
        <v>How can you make sure your organization is an "idea meritocracy"? Learn from a billionaire hedge fund manager and investor what factors really make a company succeed, and how to bet against the consensus and be right.</v>
      </c>
      <c r="E118" s="26" t="str">
        <f>IFERROR(__xludf.DUMMYFUNCTION("""COMPUTED_VALUE"""),"Collaboration and Leadership")</f>
        <v>Collaboration and Leadership</v>
      </c>
      <c r="F118" s="10" t="str">
        <f>IFERROR(__xludf.DUMMYFUNCTION("""COMPUTED_VALUE"""),"TED - ")</f>
        <v>TED - </v>
      </c>
      <c r="G118" s="11">
        <f>IFERROR(__xludf.DUMMYFUNCTION("""COMPUTED_VALUE"""),17.0)</f>
        <v>17</v>
      </c>
      <c r="H118" s="11">
        <f>IFERROR(__xludf.DUMMYFUNCTION("""COMPUTED_VALUE"""),3.0)</f>
        <v>3</v>
      </c>
      <c r="I118" s="12" t="str">
        <f>IFERROR(__xludf.DUMMYFUNCTION("""COMPUTED_VALUE"""),"English, German")</f>
        <v>English, German</v>
      </c>
      <c r="J118" s="12" t="str">
        <f>IFERROR(__xludf.DUMMYFUNCTION("""COMPUTED_VALUE"""),"English")</f>
        <v>English</v>
      </c>
      <c r="K118" s="13">
        <f>IFERROR(__xludf.DUMMYFUNCTION("""COMPUTED_VALUE"""),45219.0)</f>
        <v>45219</v>
      </c>
      <c r="L118" s="14" t="str">
        <f>IFERROR(__xludf.DUMMYFUNCTION("""COMPUTED_VALUE"""),"https://masterplan.com/courses/baue-ein-unternehmen-auf-in-dem-die-besten-ideen-gewinnen")</f>
        <v>https://masterplan.com/courses/baue-ein-unternehmen-auf-in-dem-die-besten-ideen-gewinnen</v>
      </c>
    </row>
    <row r="119">
      <c r="A119" s="15" t="str">
        <f>IFERROR(__xludf.DUMMYFUNCTION("""COMPUTED_VALUE"""),"Wie du neue Arbeitsweisen nachhaltig einführst")</f>
        <v>Wie du neue Arbeitsweisen nachhaltig einführst</v>
      </c>
      <c r="B119" s="16" t="str">
        <f>IFERROR(__xludf.DUMMYFUNCTION("""COMPUTED_VALUE"""),"Introduce New Ways of Working– That Will Actually Stick")</f>
        <v>Introduce New Ways of Working– That Will Actually Stick</v>
      </c>
      <c r="C119" s="17" t="str">
        <f>IFERROR(__xludf.DUMMYFUNCTION("""COMPUTED_VALUE"""),"Die Essenz des Erfolgs und des Scheiterns von großartigen Ideen: In diesem kurzen Video lernst du die vier wichtigsten Hindernisse kennen, die großartigen Ideen im Wege stehen und erfährst, was dein Unternehmen tun kann, um sie zu überwinden.")</f>
        <v>Die Essenz des Erfolgs und des Scheiterns von großartigen Ideen: In diesem kurzen Video lernst du die vier wichtigsten Hindernisse kennen, die großartigen Ideen im Wege stehen und erfährst, was dein Unternehmen tun kann, um sie zu überwinden.</v>
      </c>
      <c r="D119" s="17" t="str">
        <f>IFERROR(__xludf.DUMMYFUNCTION("""COMPUTED_VALUE"""),"What makes a great idea succeed– or fail? In this quick video, you'll learn the four main types of friction that work against new ideas, and what your organization can do to overcome them.")</f>
        <v>What makes a great idea succeed– or fail? In this quick video, you'll learn the four main types of friction that work against new ideas, and what your organization can do to overcome them.</v>
      </c>
      <c r="E119" s="26" t="str">
        <f>IFERROR(__xludf.DUMMYFUNCTION("""COMPUTED_VALUE"""),"Collaboration and Leadership")</f>
        <v>Collaboration and Leadership</v>
      </c>
      <c r="F119" s="19" t="str">
        <f>IFERROR(__xludf.DUMMYFUNCTION("""COMPUTED_VALUE"""),"TED - ")</f>
        <v>TED - </v>
      </c>
      <c r="G119" s="20">
        <f>IFERROR(__xludf.DUMMYFUNCTION("""COMPUTED_VALUE"""),4.0)</f>
        <v>4</v>
      </c>
      <c r="H119" s="20">
        <f>IFERROR(__xludf.DUMMYFUNCTION("""COMPUTED_VALUE"""),3.0)</f>
        <v>3</v>
      </c>
      <c r="I119" s="21" t="str">
        <f>IFERROR(__xludf.DUMMYFUNCTION("""COMPUTED_VALUE"""),"English, German")</f>
        <v>English, German</v>
      </c>
      <c r="J119" s="21" t="str">
        <f>IFERROR(__xludf.DUMMYFUNCTION("""COMPUTED_VALUE"""),"English")</f>
        <v>English</v>
      </c>
      <c r="K119" s="22">
        <f>IFERROR(__xludf.DUMMYFUNCTION("""COMPUTED_VALUE"""),45219.0)</f>
        <v>45219</v>
      </c>
      <c r="L119" s="23" t="str">
        <f>IFERROR(__xludf.DUMMYFUNCTION("""COMPUTED_VALUE"""),"https://masterplan.com/courses/wie-du-neue-arbeitsweisen-nachhaltig-einfuhrst")</f>
        <v>https://masterplan.com/courses/wie-du-neue-arbeitsweisen-nachhaltig-einfuhrst</v>
      </c>
    </row>
    <row r="120">
      <c r="A120" s="6" t="str">
        <f>IFERROR(__xludf.DUMMYFUNCTION("""COMPUTED_VALUE"""),"Das Potenzial emotional intelligenter Teams")</f>
        <v>Das Potenzial emotional intelligenter Teams</v>
      </c>
      <c r="B120" s="7" t="str">
        <f>IFERROR(__xludf.DUMMYFUNCTION("""COMPUTED_VALUE"""),"The Potential of Emotionally Intelligent Teams")</f>
        <v>The Potential of Emotionally Intelligent Teams</v>
      </c>
      <c r="C120" s="8" t="str">
        <f>IFERROR(__xludf.DUMMYFUNCTION("""COMPUTED_VALUE"""),"Emotionen am Arbeitsplatz sind ein heikles Thema. Während viele davon ausgehen, dass diese am Arbeitsplatz nichts zu suchen haben, zeigt diese Studie aus der Harvard Business Review, dass Emotionen der Schlüssel für produktive und effektive Teams sind!")</f>
        <v>Emotionen am Arbeitsplatz sind ein heikles Thema. Während viele davon ausgehen, dass diese am Arbeitsplatz nichts zu suchen haben, zeigt diese Studie aus der Harvard Business Review, dass Emotionen der Schlüssel für produktive und effektive Teams sind!</v>
      </c>
      <c r="D120" s="8" t="str">
        <f>IFERROR(__xludf.DUMMYFUNCTION("""COMPUTED_VALUE"""),"Emotions in the workplace can be a delicate subject. While many believe they have no place at work, this Harvard Business Review study reveals that emotions are the key to productive and effective teams!")</f>
        <v>Emotions in the workplace can be a delicate subject. While many believe they have no place at work, this Harvard Business Review study reveals that emotions are the key to productive and effective teams!</v>
      </c>
      <c r="E120" s="24" t="str">
        <f>IFERROR(__xludf.DUMMYFUNCTION("""COMPUTED_VALUE"""),"Emotional Intelligence")</f>
        <v>Emotional Intelligence</v>
      </c>
      <c r="F120" s="10" t="str">
        <f>IFERROR(__xludf.DUMMYFUNCTION("""COMPUTED_VALUE"""),"Harvard Business Publishing - ")</f>
        <v>Harvard Business Publishing - </v>
      </c>
      <c r="G120" s="11">
        <f>IFERROR(__xludf.DUMMYFUNCTION("""COMPUTED_VALUE"""),47.0)</f>
        <v>47</v>
      </c>
      <c r="H120" s="11">
        <f>IFERROR(__xludf.DUMMYFUNCTION("""COMPUTED_VALUE"""),14.0)</f>
        <v>14</v>
      </c>
      <c r="I120" s="12" t="str">
        <f>IFERROR(__xludf.DUMMYFUNCTION("""COMPUTED_VALUE"""),"English, German")</f>
        <v>English, German</v>
      </c>
      <c r="J120" s="12" t="str">
        <f>IFERROR(__xludf.DUMMYFUNCTION("""COMPUTED_VALUE"""),"Text only")</f>
        <v>Text only</v>
      </c>
      <c r="K120" s="13">
        <f>IFERROR(__xludf.DUMMYFUNCTION("""COMPUTED_VALUE"""),45215.0)</f>
        <v>45215</v>
      </c>
      <c r="L120" s="14" t="str">
        <f>IFERROR(__xludf.DUMMYFUNCTION("""COMPUTED_VALUE"""),"https://masterplan.com/courses/das-potenzial-emotional-intelligenter-teams")</f>
        <v>https://masterplan.com/courses/das-potenzial-emotional-intelligenter-teams</v>
      </c>
    </row>
    <row r="121">
      <c r="A121" s="15" t="str">
        <f>IFERROR(__xludf.DUMMYFUNCTION("""COMPUTED_VALUE"""),"Grundlagen der Datenkompetenz")</f>
        <v>Grundlagen der Datenkompetenz</v>
      </c>
      <c r="B121" s="16" t="str">
        <f>IFERROR(__xludf.DUMMYFUNCTION("""COMPUTED_VALUE"""),"Fundamentals of Data Literacy")</f>
        <v>Fundamentals of Data Literacy</v>
      </c>
      <c r="C121" s="17" t="str">
        <f>IFERROR(__xludf.DUMMYFUNCTION("""COMPUTED_VALUE"""),"Deine Datenkompetenz hängt davon ab, ob du Datenarten und deren Erfassung verstehst! Aber was ist eigentlich Datenkompetenz? Und wie werden Daten bspw. erhoben und strukturiert? Dieser Havard-Artikel liefert dir auf diese Fragen und viele weiteren passend"&amp;"e Antworten!")</f>
        <v>Deine Datenkompetenz hängt davon ab, ob du Datenarten und deren Erfassung verstehst! Aber was ist eigentlich Datenkompetenz? Und wie werden Daten bspw. erhoben und strukturiert? Dieser Havard-Artikel liefert dir auf diese Fragen und viele weiteren passende Antworten!</v>
      </c>
      <c r="D121" s="17" t="str">
        <f>IFERROR(__xludf.DUMMYFUNCTION("""COMPUTED_VALUE"""),"Your data literacy hinges on understanding the types of data and how they're captured! But what exactly is data literacy? And how are data, for instance, collected and structured? Dive into this Harvard article to find answers to these questions and many "&amp;"more!")</f>
        <v>Your data literacy hinges on understanding the types of data and how they're captured! But what exactly is data literacy? And how are data, for instance, collected and structured? Dive into this Harvard article to find answers to these questions and many more!</v>
      </c>
      <c r="E121" s="25" t="str">
        <f>IFERROR(__xludf.DUMMYFUNCTION("""COMPUTED_VALUE"""),"Digital Literacy")</f>
        <v>Digital Literacy</v>
      </c>
      <c r="F121" s="19" t="str">
        <f>IFERROR(__xludf.DUMMYFUNCTION("""COMPUTED_VALUE"""),"Harvard Business Publishing - ")</f>
        <v>Harvard Business Publishing - </v>
      </c>
      <c r="G121" s="20">
        <f>IFERROR(__xludf.DUMMYFUNCTION("""COMPUTED_VALUE"""),15.0)</f>
        <v>15</v>
      </c>
      <c r="H121" s="20">
        <f>IFERROR(__xludf.DUMMYFUNCTION("""COMPUTED_VALUE"""),10.0)</f>
        <v>10</v>
      </c>
      <c r="I121" s="21" t="str">
        <f>IFERROR(__xludf.DUMMYFUNCTION("""COMPUTED_VALUE"""),"English, German")</f>
        <v>English, German</v>
      </c>
      <c r="J121" s="21" t="str">
        <f>IFERROR(__xludf.DUMMYFUNCTION("""COMPUTED_VALUE"""),"Text only")</f>
        <v>Text only</v>
      </c>
      <c r="K121" s="22">
        <f>IFERROR(__xludf.DUMMYFUNCTION("""COMPUTED_VALUE"""),45215.0)</f>
        <v>45215</v>
      </c>
      <c r="L121" s="23" t="str">
        <f>IFERROR(__xludf.DUMMYFUNCTION("""COMPUTED_VALUE"""),"https://masterplan.com/courses/grundlagen-der-datenkompetenz")</f>
        <v>https://masterplan.com/courses/grundlagen-der-datenkompetenz</v>
      </c>
    </row>
    <row r="122">
      <c r="A122" s="6" t="str">
        <f>IFERROR(__xludf.DUMMYFUNCTION("""COMPUTED_VALUE"""),"Cybersicherheit fängt bei deinen Mitarbeitenden an!")</f>
        <v>Cybersicherheit fängt bei deinen Mitarbeitenden an!</v>
      </c>
      <c r="B122" s="7" t="str">
        <f>IFERROR(__xludf.DUMMYFUNCTION("""COMPUTED_VALUE"""),"Cybersecurity Starts with Your Employees!")</f>
        <v>Cybersecurity Starts with Your Employees!</v>
      </c>
      <c r="C122" s="8" t="str">
        <f>IFERROR(__xludf.DUMMYFUNCTION("""COMPUTED_VALUE"""),"Die Bedrohungen in der Cyber-Welt nehmen stätig zu. Aber die neuste Technologie und Software wird die unternehmensinterne IT schon ausreichend schützen - oder? Warum du beim Thema Cybersecurity auch deine Mitarbeitenden ins Boot holen solltest, erfährst d"&amp;"u hier!")</f>
        <v>Die Bedrohungen in der Cyber-Welt nehmen stätig zu. Aber die neuste Technologie und Software wird die unternehmensinterne IT schon ausreichend schützen - oder? Warum du beim Thema Cybersecurity auch deine Mitarbeitenden ins Boot holen solltest, erfährst du hier!</v>
      </c>
      <c r="D122" s="8" t="str">
        <f>IFERROR(__xludf.DUMMYFUNCTION("""COMPUTED_VALUE"""),"Threats in the cyber world are constantly on the rise. But the latest technology and software will surely be enough to protect your company's IT - or will it? Find out here why you should get your employees on board as well when it comes to cybersecurity!")</f>
        <v>Threats in the cyber world are constantly on the rise. But the latest technology and software will surely be enough to protect your company's IT - or will it? Find out here why you should get your employees on board as well when it comes to cybersecurity!</v>
      </c>
      <c r="E122" s="25" t="str">
        <f>IFERROR(__xludf.DUMMYFUNCTION("""COMPUTED_VALUE"""),"Digital Literacy")</f>
        <v>Digital Literacy</v>
      </c>
      <c r="F122" s="10" t="str">
        <f>IFERROR(__xludf.DUMMYFUNCTION("""COMPUTED_VALUE"""),"Harvard Business Publishing - ")</f>
        <v>Harvard Business Publishing - </v>
      </c>
      <c r="G122" s="11">
        <f>IFERROR(__xludf.DUMMYFUNCTION("""COMPUTED_VALUE"""),7.0)</f>
        <v>7</v>
      </c>
      <c r="H122" s="11">
        <f>IFERROR(__xludf.DUMMYFUNCTION("""COMPUTED_VALUE"""),7.0)</f>
        <v>7</v>
      </c>
      <c r="I122" s="12" t="str">
        <f>IFERROR(__xludf.DUMMYFUNCTION("""COMPUTED_VALUE"""),"English, German")</f>
        <v>English, German</v>
      </c>
      <c r="J122" s="12" t="str">
        <f>IFERROR(__xludf.DUMMYFUNCTION("""COMPUTED_VALUE"""),"English")</f>
        <v>English</v>
      </c>
      <c r="K122" s="13">
        <f>IFERROR(__xludf.DUMMYFUNCTION("""COMPUTED_VALUE"""),45210.0)</f>
        <v>45210</v>
      </c>
      <c r="L122" s="14" t="str">
        <f>IFERROR(__xludf.DUMMYFUNCTION("""COMPUTED_VALUE"""),"https://masterplan.com/courses/cybersicherheit-fangt-bei-deinen-mitarbeitenden-an")</f>
        <v>https://masterplan.com/courses/cybersicherheit-fangt-bei-deinen-mitarbeitenden-an</v>
      </c>
    </row>
    <row r="123">
      <c r="A123" s="15" t="str">
        <f>IFERROR(__xludf.DUMMYFUNCTION("""COMPUTED_VALUE"""),"Pitch-Perfekt: Die Kunst, Ideen brillant zu präsentieren")</f>
        <v>Pitch-Perfekt: Die Kunst, Ideen brillant zu präsentieren</v>
      </c>
      <c r="B123" s="16" t="str">
        <f>IFERROR(__xludf.DUMMYFUNCTION("""COMPUTED_VALUE"""),"Pitch Perfect: How to Pitch a Brilliant Idea")</f>
        <v>Pitch Perfect: How to Pitch a Brilliant Idea</v>
      </c>
      <c r="C123" s="17" t="str">
        <f>IFERROR(__xludf.DUMMYFUNCTION("""COMPUTED_VALUE"""),"Für einen gelungenen Pitch musst du nicht nur dein Produkt kennen, sondern auch dein Publikum. Ob es nun um Investoren oder Mitarbeitende, Expert:innen oder Laien geht - schauen wir uns  an, was die Leute dazu bringt, deinem Pitch ihre volle Aufmerksamkei"&amp;"t zu schenken!")</f>
        <v>Für einen gelungenen Pitch musst du nicht nur dein Produkt kennen, sondern auch dein Publikum. Ob es nun um Investoren oder Mitarbeitende, Expert:innen oder Laien geht - schauen wir uns  an, was die Leute dazu bringt, deinem Pitch ihre volle Aufmerksamkeit zu schenken!</v>
      </c>
      <c r="D123" s="17" t="str">
        <f>IFERROR(__xludf.DUMMYFUNCTION("""COMPUTED_VALUE"""),"The key to a great pitch is not just knowing your product, but knowing your audience. Whether you're pitching to VCs or employees, experts or every day people– let's dive into the research on what makes people connect with your pitch!")</f>
        <v>The key to a great pitch is not just knowing your product, but knowing your audience. Whether you're pitching to VCs or employees, experts or every day people– let's dive into the research on what makes people connect with your pitch!</v>
      </c>
      <c r="E123" s="28" t="str">
        <f>IFERROR(__xludf.DUMMYFUNCTION("""COMPUTED_VALUE"""),"Communication")</f>
        <v>Communication</v>
      </c>
      <c r="F123" s="19" t="str">
        <f>IFERROR(__xludf.DUMMYFUNCTION("""COMPUTED_VALUE"""),"Harvard Business Publishing - ")</f>
        <v>Harvard Business Publishing - </v>
      </c>
      <c r="G123" s="20">
        <f>IFERROR(__xludf.DUMMYFUNCTION("""COMPUTED_VALUE"""),107.0)</f>
        <v>107</v>
      </c>
      <c r="H123" s="20">
        <f>IFERROR(__xludf.DUMMYFUNCTION("""COMPUTED_VALUE"""),13.0)</f>
        <v>13</v>
      </c>
      <c r="I123" s="21" t="str">
        <f>IFERROR(__xludf.DUMMYFUNCTION("""COMPUTED_VALUE"""),"English, German")</f>
        <v>English, German</v>
      </c>
      <c r="J123" s="21" t="str">
        <f>IFERROR(__xludf.DUMMYFUNCTION("""COMPUTED_VALUE"""),"English")</f>
        <v>English</v>
      </c>
      <c r="K123" s="22">
        <f>IFERROR(__xludf.DUMMYFUNCTION("""COMPUTED_VALUE"""),45210.0)</f>
        <v>45210</v>
      </c>
      <c r="L123" s="23" t="str">
        <f>IFERROR(__xludf.DUMMYFUNCTION("""COMPUTED_VALUE"""),"https://masterplan.com/courses/pitch-perfekt-die-kunst-ideen-brillant-zu-prasentieren")</f>
        <v>https://masterplan.com/courses/pitch-perfekt-die-kunst-ideen-brillant-zu-prasentieren</v>
      </c>
    </row>
    <row r="124">
      <c r="A124" s="6" t="str">
        <f>IFERROR(__xludf.DUMMYFUNCTION("""COMPUTED_VALUE"""),"Wie Reverse-Mentoring zu besseren Führungskräften führt")</f>
        <v>Wie Reverse-Mentoring zu besseren Führungskräften führt</v>
      </c>
      <c r="B124" s="7" t="str">
        <f>IFERROR(__xludf.DUMMYFUNCTION("""COMPUTED_VALUE"""),"How Reverse Mentorship Can Help Create Better Leaders")</f>
        <v>How Reverse Mentorship Can Help Create Better Leaders</v>
      </c>
      <c r="C124" s="8" t="str">
        <f>IFERROR(__xludf.DUMMYFUNCTION("""COMPUTED_VALUE"""),"Beim Mentoring profitiert nicht nur eine Seite. In diesem Video erfährst du, wie Unternehmen Reverse-Mentoring nutzen können, damit der Wissensaustausch in alle Richtungen fließt!")</f>
        <v>Beim Mentoring profitiert nicht nur eine Seite. In diesem Video erfährst du, wie Unternehmen Reverse-Mentoring nutzen können, damit der Wissensaustausch in alle Richtungen fließt!</v>
      </c>
      <c r="D124" s="8" t="str">
        <f>IFERROR(__xludf.DUMMYFUNCTION("""COMPUTED_VALUE"""),"When it comes to mentorship, the benefits don't just trickle-down. Here you'll learn about how organizations can utilize reverse mentorship, so the exchange of knowledge flows in every direction!")</f>
        <v>When it comes to mentorship, the benefits don't just trickle-down. Here you'll learn about how organizations can utilize reverse mentorship, so the exchange of knowledge flows in every direction!</v>
      </c>
      <c r="E124" s="26" t="str">
        <f>IFERROR(__xludf.DUMMYFUNCTION("""COMPUTED_VALUE"""),"Collaboration and Leadership")</f>
        <v>Collaboration and Leadership</v>
      </c>
      <c r="F124" s="10" t="str">
        <f>IFERROR(__xludf.DUMMYFUNCTION("""COMPUTED_VALUE"""),"TED - ")</f>
        <v>TED - </v>
      </c>
      <c r="G124" s="11">
        <f>IFERROR(__xludf.DUMMYFUNCTION("""COMPUTED_VALUE"""),5.0)</f>
        <v>5</v>
      </c>
      <c r="H124" s="11">
        <f>IFERROR(__xludf.DUMMYFUNCTION("""COMPUTED_VALUE"""),3.0)</f>
        <v>3</v>
      </c>
      <c r="I124" s="12" t="str">
        <f>IFERROR(__xludf.DUMMYFUNCTION("""COMPUTED_VALUE"""),"English, German")</f>
        <v>English, German</v>
      </c>
      <c r="J124" s="12" t="str">
        <f>IFERROR(__xludf.DUMMYFUNCTION("""COMPUTED_VALUE"""),"English")</f>
        <v>English</v>
      </c>
      <c r="K124" s="13">
        <f>IFERROR(__xludf.DUMMYFUNCTION("""COMPUTED_VALUE"""),45210.0)</f>
        <v>45210</v>
      </c>
      <c r="L124" s="14" t="str">
        <f>IFERROR(__xludf.DUMMYFUNCTION("""COMPUTED_VALUE"""),"https://masterplan.com/courses/wie-reverse-mentoring-zu-besseren-fuhrungskraften-fuhrt")</f>
        <v>https://masterplan.com/courses/wie-reverse-mentoring-zu-besseren-fuhrungskraften-fuhrt</v>
      </c>
    </row>
    <row r="125">
      <c r="A125" s="15" t="str">
        <f>IFERROR(__xludf.DUMMYFUNCTION("""COMPUTED_VALUE"""),"Wie erfolgreiche Führungskräfte mit Unsicherheit umgehen")</f>
        <v>Wie erfolgreiche Führungskräfte mit Unsicherheit umgehen</v>
      </c>
      <c r="B125" s="16" t="str">
        <f>IFERROR(__xludf.DUMMYFUNCTION("""COMPUTED_VALUE"""),"How Great Leaders Take on Uncertainty")</f>
        <v>How Great Leaders Take on Uncertainty</v>
      </c>
      <c r="C125" s="17" t="str">
        <f>IFERROR(__xludf.DUMMYFUNCTION("""COMPUTED_VALUE"""),"In diesem Interview mit der ehemaligen CEO von Vimeo, Anjali Sud, erfährst du, was Führungskräfte tun können, um ihre Mitarbeitenden in die richtige Richtung zu inspirieren und sie mit Sicherheit zu führen - trotz Pandemien, Rezessionen oder Umstrukturier"&amp;"ungen.")</f>
        <v>In diesem Interview mit der ehemaligen CEO von Vimeo, Anjali Sud, erfährst du, was Führungskräfte tun können, um ihre Mitarbeitenden in die richtige Richtung zu inspirieren und sie mit Sicherheit zu führen - trotz Pandemien, Rezessionen oder Umstrukturierungen.</v>
      </c>
      <c r="D125" s="17" t="str">
        <f>IFERROR(__xludf.DUMMYFUNCTION("""COMPUTED_VALUE"""),"In this interview with then-CEO of Vimeo, Anjali Sud, you'll learn what leaders can do to inspire their people in the right direction and lead with certainty– even when pandemics, recessions, or restructurings make the path uncertain.")</f>
        <v>In this interview with then-CEO of Vimeo, Anjali Sud, you'll learn what leaders can do to inspire their people in the right direction and lead with certainty– even when pandemics, recessions, or restructurings make the path uncertain.</v>
      </c>
      <c r="E125" s="26" t="str">
        <f>IFERROR(__xludf.DUMMYFUNCTION("""COMPUTED_VALUE"""),"Collaboration and Leadership")</f>
        <v>Collaboration and Leadership</v>
      </c>
      <c r="F125" s="19" t="str">
        <f>IFERROR(__xludf.DUMMYFUNCTION("""COMPUTED_VALUE"""),"TED - ")</f>
        <v>TED - </v>
      </c>
      <c r="G125" s="20">
        <f>IFERROR(__xludf.DUMMYFUNCTION("""COMPUTED_VALUE"""),23.0)</f>
        <v>23</v>
      </c>
      <c r="H125" s="20">
        <f>IFERROR(__xludf.DUMMYFUNCTION("""COMPUTED_VALUE"""),3.0)</f>
        <v>3</v>
      </c>
      <c r="I125" s="21" t="str">
        <f>IFERROR(__xludf.DUMMYFUNCTION("""COMPUTED_VALUE"""),"English, German")</f>
        <v>English, German</v>
      </c>
      <c r="J125" s="21" t="str">
        <f>IFERROR(__xludf.DUMMYFUNCTION("""COMPUTED_VALUE"""),"English")</f>
        <v>English</v>
      </c>
      <c r="K125" s="22">
        <f>IFERROR(__xludf.DUMMYFUNCTION("""COMPUTED_VALUE"""),45210.0)</f>
        <v>45210</v>
      </c>
      <c r="L125" s="23" t="str">
        <f>IFERROR(__xludf.DUMMYFUNCTION("""COMPUTED_VALUE"""),"https://masterplan.com/courses/wie-erfolgreiche-fuhrungskrafte-mit-unsicherheit-umgehen")</f>
        <v>https://masterplan.com/courses/wie-erfolgreiche-fuhrungskrafte-mit-unsicherheit-umgehen</v>
      </c>
    </row>
    <row r="126">
      <c r="A126" s="6" t="str">
        <f>IFERROR(__xludf.DUMMYFUNCTION("""COMPUTED_VALUE"""),"5 Tipps, die alle Unternehmen und Arbeitssuchende kennen sollten")</f>
        <v>5 Tipps, die alle Unternehmen und Arbeitssuchende kennen sollten</v>
      </c>
      <c r="B126" s="7" t="str">
        <f>IFERROR(__xludf.DUMMYFUNCTION("""COMPUTED_VALUE"""),"5 Hiring Tips Every Company (And Job Seeker) Should Know")</f>
        <v>5 Hiring Tips Every Company (And Job Seeker) Should Know</v>
      </c>
      <c r="C126" s="8" t="str">
        <f>IFERROR(__xludf.DUMMYFUNCTION("""COMPUTED_VALUE"""),"Die beste Person für den Job zu finden, ist nicht mehr so einfach wie früher. Erfahre von einer Expertin für Talentakquise von BCG, was Arbeitgeber und -nehmer wissen müssen, um Talente freizusetzen, die noch im Verborgenen schlummern!")</f>
        <v>Die beste Person für den Job zu finden, ist nicht mehr so einfach wie früher. Erfahre von einer Expertin für Talentakquise von BCG, was Arbeitgeber und -nehmer wissen müssen, um Talente freizusetzen, die noch im Verborgenen schlummern!</v>
      </c>
      <c r="D126" s="8" t="str">
        <f>IFERROR(__xludf.DUMMYFUNCTION("""COMPUTED_VALUE"""),"Finding the best person for the job isn't as simple as it used to be. Here you'll learn from an expert on talent acquisition from the Boston Consulting Group about what employers and employees need to know in order to unleash the talent hiding in plain si"&amp;"ght!")</f>
        <v>Finding the best person for the job isn't as simple as it used to be. Here you'll learn from an expert on talent acquisition from the Boston Consulting Group about what employers and employees need to know in order to unleash the talent hiding in plain sight!</v>
      </c>
      <c r="E126" s="26" t="str">
        <f>IFERROR(__xludf.DUMMYFUNCTION("""COMPUTED_VALUE"""),"Collaboration and Leadership")</f>
        <v>Collaboration and Leadership</v>
      </c>
      <c r="F126" s="10" t="str">
        <f>IFERROR(__xludf.DUMMYFUNCTION("""COMPUTED_VALUE"""),"TED - ")</f>
        <v>TED - </v>
      </c>
      <c r="G126" s="11">
        <f>IFERROR(__xludf.DUMMYFUNCTION("""COMPUTED_VALUE"""),8.0)</f>
        <v>8</v>
      </c>
      <c r="H126" s="11">
        <f>IFERROR(__xludf.DUMMYFUNCTION("""COMPUTED_VALUE"""),3.0)</f>
        <v>3</v>
      </c>
      <c r="I126" s="12" t="str">
        <f>IFERROR(__xludf.DUMMYFUNCTION("""COMPUTED_VALUE"""),"English, German")</f>
        <v>English, German</v>
      </c>
      <c r="J126" s="12" t="str">
        <f>IFERROR(__xludf.DUMMYFUNCTION("""COMPUTED_VALUE"""),"English")</f>
        <v>English</v>
      </c>
      <c r="K126" s="13">
        <f>IFERROR(__xludf.DUMMYFUNCTION("""COMPUTED_VALUE"""),45210.0)</f>
        <v>45210</v>
      </c>
      <c r="L126" s="14" t="str">
        <f>IFERROR(__xludf.DUMMYFUNCTION("""COMPUTED_VALUE"""),"https://masterplan.com/courses/5-tipps-die-alle-unternehmen-und-arbeitssuchende-kennen-sollten")</f>
        <v>https://masterplan.com/courses/5-tipps-die-alle-unternehmen-und-arbeitssuchende-kennen-sollten</v>
      </c>
    </row>
    <row r="127">
      <c r="A127" s="15" t="str">
        <f>IFERROR(__xludf.DUMMYFUNCTION("""COMPUTED_VALUE"""),"Aktive Pause: 4 Übungen für den Arbeitsplatz")</f>
        <v>Aktive Pause: 4 Übungen für den Arbeitsplatz</v>
      </c>
      <c r="B127" s="16" t="str">
        <f>IFERROR(__xludf.DUMMYFUNCTION("""COMPUTED_VALUE"""),"n.a.")</f>
        <v>n.a.</v>
      </c>
      <c r="C127" s="17" t="str">
        <f>IFERROR(__xludf.DUMMYFUNCTION("""COMPUTED_VALUE"""),"Heute in der Pause schon was vor? Gönn dir einen Moment der Entspannung: Mit diesen vier einfachen Übungen, können sich deine Beine in nur wenigen Minuten vom langen Sitzen am Schreibtisch erholen.")</f>
        <v>Heute in der Pause schon was vor? Gönn dir einen Moment der Entspannung: Mit diesen vier einfachen Übungen, können sich deine Beine in nur wenigen Minuten vom langen Sitzen am Schreibtisch erholen.</v>
      </c>
      <c r="D127" s="17" t="str">
        <f>IFERROR(__xludf.DUMMYFUNCTION("""COMPUTED_VALUE"""),"n.a.")</f>
        <v>n.a.</v>
      </c>
      <c r="E127" s="24" t="str">
        <f>IFERROR(__xludf.DUMMYFUNCTION("""COMPUTED_VALUE"""),"Emotional Intelligence")</f>
        <v>Emotional Intelligence</v>
      </c>
      <c r="F127" s="19" t="str">
        <f>IFERROR(__xludf.DUMMYFUNCTION("""COMPUTED_VALUE"""),"Ergotopia")</f>
        <v>Ergotopia</v>
      </c>
      <c r="G127" s="20">
        <f>IFERROR(__xludf.DUMMYFUNCTION("""COMPUTED_VALUE"""),12.0)</f>
        <v>12</v>
      </c>
      <c r="H127" s="20">
        <f>IFERROR(__xludf.DUMMYFUNCTION("""COMPUTED_VALUE"""),2.0)</f>
        <v>2</v>
      </c>
      <c r="I127" s="21" t="str">
        <f>IFERROR(__xludf.DUMMYFUNCTION("""COMPUTED_VALUE"""),"German")</f>
        <v>German</v>
      </c>
      <c r="J127" s="21" t="str">
        <f>IFERROR(__xludf.DUMMYFUNCTION("""COMPUTED_VALUE"""),"German")</f>
        <v>German</v>
      </c>
      <c r="K127" s="22">
        <f>IFERROR(__xludf.DUMMYFUNCTION("""COMPUTED_VALUE"""),45210.0)</f>
        <v>45210</v>
      </c>
      <c r="L127" s="23" t="str">
        <f>IFERROR(__xludf.DUMMYFUNCTION("""COMPUTED_VALUE"""),"https://masterplan.com/courses/aktive-pause-4-ubungen-fur-den-arbeitsplatz")</f>
        <v>https://masterplan.com/courses/aktive-pause-4-ubungen-fur-den-arbeitsplatz</v>
      </c>
    </row>
    <row r="128">
      <c r="A128" s="6" t="str">
        <f>IFERROR(__xludf.DUMMYFUNCTION("""COMPUTED_VALUE"""),"Oberen Rücken dehnen: 3 Übungen gegen Verspannungen")</f>
        <v>Oberen Rücken dehnen: 3 Übungen gegen Verspannungen</v>
      </c>
      <c r="B128" s="7" t="str">
        <f>IFERROR(__xludf.DUMMYFUNCTION("""COMPUTED_VALUE"""),"n.a.")</f>
        <v>n.a.</v>
      </c>
      <c r="C128" s="8" t="str">
        <f>IFERROR(__xludf.DUMMYFUNCTION("""COMPUTED_VALUE"""),"Wer den Großteil des Tages vor dem Bildschirm verbringt, hat des Öfteren mit Verspannungen im oberen Rücken zu kämpfen, die zu Nacken-, Rücken- und Kopfschmerzen führen können. Regelmäßige Dehnübungen lockern deine Muskulatur und bringen dich entspannt du"&amp;"rch den Tag!")</f>
        <v>Wer den Großteil des Tages vor dem Bildschirm verbringt, hat des Öfteren mit Verspannungen im oberen Rücken zu kämpfen, die zu Nacken-, Rücken- und Kopfschmerzen führen können. Regelmäßige Dehnübungen lockern deine Muskulatur und bringen dich entspannt durch den Tag!</v>
      </c>
      <c r="D128" s="8" t="str">
        <f>IFERROR(__xludf.DUMMYFUNCTION("""COMPUTED_VALUE"""),"n.a.")</f>
        <v>n.a.</v>
      </c>
      <c r="E128" s="24" t="str">
        <f>IFERROR(__xludf.DUMMYFUNCTION("""COMPUTED_VALUE"""),"Emotional Intelligence")</f>
        <v>Emotional Intelligence</v>
      </c>
      <c r="F128" s="10" t="str">
        <f>IFERROR(__xludf.DUMMYFUNCTION("""COMPUTED_VALUE"""),"Ergotopia")</f>
        <v>Ergotopia</v>
      </c>
      <c r="G128" s="11">
        <f>IFERROR(__xludf.DUMMYFUNCTION("""COMPUTED_VALUE"""),8.0)</f>
        <v>8</v>
      </c>
      <c r="H128" s="11">
        <f>IFERROR(__xludf.DUMMYFUNCTION("""COMPUTED_VALUE"""),1.0)</f>
        <v>1</v>
      </c>
      <c r="I128" s="12" t="str">
        <f>IFERROR(__xludf.DUMMYFUNCTION("""COMPUTED_VALUE"""),"German")</f>
        <v>German</v>
      </c>
      <c r="J128" s="12" t="str">
        <f>IFERROR(__xludf.DUMMYFUNCTION("""COMPUTED_VALUE"""),"German")</f>
        <v>German</v>
      </c>
      <c r="K128" s="13">
        <f>IFERROR(__xludf.DUMMYFUNCTION("""COMPUTED_VALUE"""),45210.0)</f>
        <v>45210</v>
      </c>
      <c r="L128" s="14" t="str">
        <f>IFERROR(__xludf.DUMMYFUNCTION("""COMPUTED_VALUE"""),"https://masterplan.com/courses/oberen-rucken-dehnen-3-ubungen-gegen-verspannungen")</f>
        <v>https://masterplan.com/courses/oberen-rucken-dehnen-3-ubungen-gegen-verspannungen</v>
      </c>
    </row>
    <row r="129">
      <c r="A129" s="15" t="str">
        <f>IFERROR(__xludf.DUMMYFUNCTION("""COMPUTED_VALUE"""),"Office Eyes: Übungen gegen brennende &amp; trockene Augen")</f>
        <v>Office Eyes: Übungen gegen brennende &amp; trockene Augen</v>
      </c>
      <c r="B129" s="16" t="str">
        <f>IFERROR(__xludf.DUMMYFUNCTION("""COMPUTED_VALUE"""),"n.a.")</f>
        <v>n.a.</v>
      </c>
      <c r="C129" s="17" t="str">
        <f>IFERROR(__xludf.DUMMYFUNCTION("""COMPUTED_VALUE"""),"Statt um ""Hungry Eyes"" geht es hier um Office Eyes: Konzentriertes Arbeiten am Computer führt zu einer reduzierten Frequenz des Blinzelns und damit zu trockenen und müden Augen. Nimm dir einen Augenblick Zeit: Unsere Übungen sorgen sofort für einen bess"&amp;"eren Durchblick!")</f>
        <v>Statt um "Hungry Eyes" geht es hier um Office Eyes: Konzentriertes Arbeiten am Computer führt zu einer reduzierten Frequenz des Blinzelns und damit zu trockenen und müden Augen. Nimm dir einen Augenblick Zeit: Unsere Übungen sorgen sofort für einen besseren Durchblick!</v>
      </c>
      <c r="D129" s="17" t="str">
        <f>IFERROR(__xludf.DUMMYFUNCTION("""COMPUTED_VALUE"""),"n.a.")</f>
        <v>n.a.</v>
      </c>
      <c r="E129" s="24" t="str">
        <f>IFERROR(__xludf.DUMMYFUNCTION("""COMPUTED_VALUE"""),"Emotional Intelligence")</f>
        <v>Emotional Intelligence</v>
      </c>
      <c r="F129" s="19" t="str">
        <f>IFERROR(__xludf.DUMMYFUNCTION("""COMPUTED_VALUE"""),"Ergotopia")</f>
        <v>Ergotopia</v>
      </c>
      <c r="G129" s="20">
        <f>IFERROR(__xludf.DUMMYFUNCTION("""COMPUTED_VALUE"""),7.0)</f>
        <v>7</v>
      </c>
      <c r="H129" s="20">
        <f>IFERROR(__xludf.DUMMYFUNCTION("""COMPUTED_VALUE"""),2.0)</f>
        <v>2</v>
      </c>
      <c r="I129" s="21" t="str">
        <f>IFERROR(__xludf.DUMMYFUNCTION("""COMPUTED_VALUE"""),"German")</f>
        <v>German</v>
      </c>
      <c r="J129" s="21" t="str">
        <f>IFERROR(__xludf.DUMMYFUNCTION("""COMPUTED_VALUE"""),"German")</f>
        <v>German</v>
      </c>
      <c r="K129" s="22">
        <f>IFERROR(__xludf.DUMMYFUNCTION("""COMPUTED_VALUE"""),45210.0)</f>
        <v>45210</v>
      </c>
      <c r="L129" s="23" t="str">
        <f>IFERROR(__xludf.DUMMYFUNCTION("""COMPUTED_VALUE"""),"https://masterplan.com/courses/office-eyes-ubungen-gegen-brennende-und-trockene-augen")</f>
        <v>https://masterplan.com/courses/office-eyes-ubungen-gegen-brennende-und-trockene-augen</v>
      </c>
    </row>
    <row r="130">
      <c r="A130" s="6" t="str">
        <f>IFERROR(__xludf.DUMMYFUNCTION("""COMPUTED_VALUE"""),"Verkaufskompetenz für Nicht-Verkäufer")</f>
        <v>Verkaufskompetenz für Nicht-Verkäufer</v>
      </c>
      <c r="B130" s="7" t="str">
        <f>IFERROR(__xludf.DUMMYFUNCTION("""COMPUTED_VALUE"""),"Improve Your Sales Skills– Even If You're Not in Sales")</f>
        <v>Improve Your Sales Skills– Even If You're Not in Sales</v>
      </c>
      <c r="C130" s="8" t="str">
        <f>IFERROR(__xludf.DUMMYFUNCTION("""COMPUTED_VALUE"""),"Jeder von uns kann verkaufen!Und dazu bedarf es eines gewissen Skillsets. Wir zeigen dir ein paar einfache Tipps, wie du deine Verkaufskompetenz verbesserst, um dich in andere hineinzuversetzen und jeden überzeugen zu können, egal was du verkaufst!")</f>
        <v>Jeder von uns kann verkaufen!Und dazu bedarf es eines gewissen Skillsets. Wir zeigen dir ein paar einfache Tipps, wie du deine Verkaufskompetenz verbesserst, um dich in andere hineinzuversetzen und jeden überzeugen zu können, egal was du verkaufst!</v>
      </c>
      <c r="D130" s="8" t="str">
        <f>IFERROR(__xludf.DUMMYFUNCTION("""COMPUTED_VALUE"""),"Everybody's selling something, so you better make sure you're up to the task! Here you'll learn some simple tips to sharpen your Sales skills so that you can empathize and persuade anyone, no matter what you're selling!")</f>
        <v>Everybody's selling something, so you better make sure you're up to the task! Here you'll learn some simple tips to sharpen your Sales skills so that you can empathize and persuade anyone, no matter what you're selling!</v>
      </c>
      <c r="E130" s="28" t="str">
        <f>IFERROR(__xludf.DUMMYFUNCTION("""COMPUTED_VALUE"""),"Communication")</f>
        <v>Communication</v>
      </c>
      <c r="F130" s="10" t="str">
        <f>IFERROR(__xludf.DUMMYFUNCTION("""COMPUTED_VALUE"""),"Harvard Business Publishing - ")</f>
        <v>Harvard Business Publishing - </v>
      </c>
      <c r="G130" s="11">
        <f>IFERROR(__xludf.DUMMYFUNCTION("""COMPUTED_VALUE"""),10.0)</f>
        <v>10</v>
      </c>
      <c r="H130" s="11">
        <f>IFERROR(__xludf.DUMMYFUNCTION("""COMPUTED_VALUE"""),6.0)</f>
        <v>6</v>
      </c>
      <c r="I130" s="12" t="str">
        <f>IFERROR(__xludf.DUMMYFUNCTION("""COMPUTED_VALUE"""),"English, German")</f>
        <v>English, German</v>
      </c>
      <c r="J130" s="12" t="str">
        <f>IFERROR(__xludf.DUMMYFUNCTION("""COMPUTED_VALUE"""),"Text only")</f>
        <v>Text only</v>
      </c>
      <c r="K130" s="13">
        <f>IFERROR(__xludf.DUMMYFUNCTION("""COMPUTED_VALUE"""),45204.0)</f>
        <v>45204</v>
      </c>
      <c r="L130" s="14" t="str">
        <f>IFERROR(__xludf.DUMMYFUNCTION("""COMPUTED_VALUE"""),"https://masterplan.com/courses/verkaufskompetenz-fur-nicht-verkaufer")</f>
        <v>https://masterplan.com/courses/verkaufskompetenz-fur-nicht-verkaufer</v>
      </c>
    </row>
    <row r="131">
      <c r="A131" s="15" t="str">
        <f>IFERROR(__xludf.DUMMYFUNCTION("""COMPUTED_VALUE"""),"Überlegst du noch oder schreibst du schon?")</f>
        <v>Überlegst du noch oder schreibst du schon?</v>
      </c>
      <c r="B131" s="16" t="str">
        <f>IFERROR(__xludf.DUMMYFUNCTION("""COMPUTED_VALUE"""),"Straight to the Point: 3 Ways to Improve Your Writing")</f>
        <v>Straight to the Point: 3 Ways to Improve Your Writing</v>
      </c>
      <c r="C131" s="17" t="str">
        <f>IFERROR(__xludf.DUMMYFUNCTION("""COMPUTED_VALUE"""),"66% aller Führungskräfte geben in einer Studie an, einmal täglich mit schriftlicher Fehlkommunikation konfrontiert zu sein. Zeit, dies zu ändern! In diesem Kurs erfährst du drei einfache Tipps, mit denen du jede Nachricht klar und ohne Missverständnisse f"&amp;"ormulierst.")</f>
        <v>66% aller Führungskräfte geben in einer Studie an, einmal täglich mit schriftlicher Fehlkommunikation konfrontiert zu sein. Zeit, dies zu ändern! In diesem Kurs erfährst du drei einfache Tipps, mit denen du jede Nachricht klar und ohne Missverständnisse formulierst.</v>
      </c>
      <c r="D131" s="17" t="str">
        <f>IFERROR(__xludf.DUMMYFUNCTION("""COMPUTED_VALUE"""),"In a 2023 study, 66% of all managers stated that they encounter written miscommunication at least once a day. Time to change that! In this course, you'll learn three simple tips to ensure that every message is clear and free of misunderstandings.")</f>
        <v>In a 2023 study, 66% of all managers stated that they encounter written miscommunication at least once a day. Time to change that! In this course, you'll learn three simple tips to ensure that every message is clear and free of misunderstandings.</v>
      </c>
      <c r="E131" s="28" t="str">
        <f>IFERROR(__xludf.DUMMYFUNCTION("""COMPUTED_VALUE"""),"Communication")</f>
        <v>Communication</v>
      </c>
      <c r="F131" s="19" t="str">
        <f>IFERROR(__xludf.DUMMYFUNCTION("""COMPUTED_VALUE"""),"Harvard Business Publishing - ")</f>
        <v>Harvard Business Publishing - </v>
      </c>
      <c r="G131" s="20">
        <f>IFERROR(__xludf.DUMMYFUNCTION("""COMPUTED_VALUE"""),10.0)</f>
        <v>10</v>
      </c>
      <c r="H131" s="20">
        <f>IFERROR(__xludf.DUMMYFUNCTION("""COMPUTED_VALUE"""),7.0)</f>
        <v>7</v>
      </c>
      <c r="I131" s="21" t="str">
        <f>IFERROR(__xludf.DUMMYFUNCTION("""COMPUTED_VALUE"""),"English, German")</f>
        <v>English, German</v>
      </c>
      <c r="J131" s="21" t="str">
        <f>IFERROR(__xludf.DUMMYFUNCTION("""COMPUTED_VALUE"""),"English")</f>
        <v>English</v>
      </c>
      <c r="K131" s="22">
        <f>IFERROR(__xludf.DUMMYFUNCTION("""COMPUTED_VALUE"""),45204.0)</f>
        <v>45204</v>
      </c>
      <c r="L131" s="23" t="str">
        <f>IFERROR(__xludf.DUMMYFUNCTION("""COMPUTED_VALUE"""),"https://masterplan.com/courses/uberlegst-du-noch-oder-schreibst-du-schon")</f>
        <v>https://masterplan.com/courses/uberlegst-du-noch-oder-schreibst-du-schon</v>
      </c>
    </row>
    <row r="132">
      <c r="A132" s="6" t="str">
        <f>IFERROR(__xludf.DUMMYFUNCTION("""COMPUTED_VALUE"""),"Mitarbeiterführung ohne Mikromanagement")</f>
        <v>Mitarbeiterführung ohne Mikromanagement</v>
      </c>
      <c r="B132" s="7" t="str">
        <f>IFERROR(__xludf.DUMMYFUNCTION("""COMPUTED_VALUE"""),"Stop Telling Your Employees What To Do")</f>
        <v>Stop Telling Your Employees What To Do</v>
      </c>
      <c r="C132" s="8" t="str">
        <f>IFERROR(__xludf.DUMMYFUNCTION("""COMPUTED_VALUE"""),"Was würden deine Mitarbeitenden tun, wenn du ihnen nicht mehr sagen würdest, was sie tun sollen? Du wirst überrascht sein! In diesem Kurs zeigen wir dir, wie du dich der Busy Culture entziehst und wie du ohne Mikromanagement produktive Teams aufbaust.")</f>
        <v>Was würden deine Mitarbeitenden tun, wenn du ihnen nicht mehr sagen würdest, was sie tun sollen? Du wirst überrascht sein! In diesem Kurs zeigen wir dir, wie du dich der Busy Culture entziehst und wie du ohne Mikromanagement produktive Teams aufbaust.</v>
      </c>
      <c r="D132" s="8" t="str">
        <f>IFERROR(__xludf.DUMMYFUNCTION("""COMPUTED_VALUE"""),"What would your employees do if you stopped telling them what to do? You might be surprised! In this course, you'll learn how beating the culture of busyness and managing without micro-managing can lead to the most productive teams.")</f>
        <v>What would your employees do if you stopped telling them what to do? You might be surprised! In this course, you'll learn how beating the culture of busyness and managing without micro-managing can lead to the most productive teams.</v>
      </c>
      <c r="E132" s="26" t="str">
        <f>IFERROR(__xludf.DUMMYFUNCTION("""COMPUTED_VALUE"""),"Collaboration and Leadership")</f>
        <v>Collaboration and Leadership</v>
      </c>
      <c r="F132" s="10" t="str">
        <f>IFERROR(__xludf.DUMMYFUNCTION("""COMPUTED_VALUE"""),"Harvard Business Publishing - ")</f>
        <v>Harvard Business Publishing - </v>
      </c>
      <c r="G132" s="11">
        <f>IFERROR(__xludf.DUMMYFUNCTION("""COMPUTED_VALUE"""),53.0)</f>
        <v>53</v>
      </c>
      <c r="H132" s="11">
        <f>IFERROR(__xludf.DUMMYFUNCTION("""COMPUTED_VALUE"""),16.0)</f>
        <v>16</v>
      </c>
      <c r="I132" s="12" t="str">
        <f>IFERROR(__xludf.DUMMYFUNCTION("""COMPUTED_VALUE"""),"English, German")</f>
        <v>English, German</v>
      </c>
      <c r="J132" s="12" t="str">
        <f>IFERROR(__xludf.DUMMYFUNCTION("""COMPUTED_VALUE"""),"English")</f>
        <v>English</v>
      </c>
      <c r="K132" s="13">
        <f>IFERROR(__xludf.DUMMYFUNCTION("""COMPUTED_VALUE"""),45204.0)</f>
        <v>45204</v>
      </c>
      <c r="L132" s="14" t="str">
        <f>IFERROR(__xludf.DUMMYFUNCTION("""COMPUTED_VALUE"""),"https://masterplan.com/courses/mitarbeiterfuhrung-ohne-mikromanagement")</f>
        <v>https://masterplan.com/courses/mitarbeiterfuhrung-ohne-mikromanagement</v>
      </c>
    </row>
    <row r="133">
      <c r="A133" s="15" t="str">
        <f>IFERROR(__xludf.DUMMYFUNCTION("""COMPUTED_VALUE"""),"Warum KI unglaublich klug und erschreckend dumm ist")</f>
        <v>Warum KI unglaublich klug und erschreckend dumm ist</v>
      </c>
      <c r="B133" s="16" t="str">
        <f>IFERROR(__xludf.DUMMYFUNCTION("""COMPUTED_VALUE"""),"Why AI is Incredibly Smart– and Shockingly Stupid")</f>
        <v>Why AI is Incredibly Smart– and Shockingly Stupid</v>
      </c>
      <c r="C133" s="17" t="str">
        <f>IFERROR(__xludf.DUMMYFUNCTION("""COMPUTED_VALUE"""),"Ein gesunder Menschenverstand ist alles andere als selbstverständlich - wie können wir KI also dabei behilflich sein? Der Informatiker Yejin Choi zeigt die Stärken und Schwächen der heutigen KI-Modelle und wie wir ihnen beibringen können, menschlicher zu "&amp;"werden.")</f>
        <v>Ein gesunder Menschenverstand ist alles andere als selbstverständlich - wie können wir KI also dabei behilflich sein? Der Informatiker Yejin Choi zeigt die Stärken und Schwächen der heutigen KI-Modelle und wie wir ihnen beibringen können, menschlicher zu werden.</v>
      </c>
      <c r="D133" s="17" t="str">
        <f>IFERROR(__xludf.DUMMYFUNCTION("""COMPUTED_VALUE"""),"Common sense is not so common– so how can we help AI to solve its most common issues with common sense? Computer scientist Yejin Choi discusses the strengths and weaknesses of today's AI models, and how we can teach it to be more human.")</f>
        <v>Common sense is not so common– so how can we help AI to solve its most common issues with common sense? Computer scientist Yejin Choi discusses the strengths and weaknesses of today's AI models, and how we can teach it to be more human.</v>
      </c>
      <c r="E133" s="25" t="str">
        <f>IFERROR(__xludf.DUMMYFUNCTION("""COMPUTED_VALUE"""),"Digital Literacy")</f>
        <v>Digital Literacy</v>
      </c>
      <c r="F133" s="19" t="str">
        <f>IFERROR(__xludf.DUMMYFUNCTION("""COMPUTED_VALUE"""),"TED - ")</f>
        <v>TED - </v>
      </c>
      <c r="G133" s="20">
        <f>IFERROR(__xludf.DUMMYFUNCTION("""COMPUTED_VALUE"""),16.0)</f>
        <v>16</v>
      </c>
      <c r="H133" s="20">
        <f>IFERROR(__xludf.DUMMYFUNCTION("""COMPUTED_VALUE"""),3.0)</f>
        <v>3</v>
      </c>
      <c r="I133" s="21" t="str">
        <f>IFERROR(__xludf.DUMMYFUNCTION("""COMPUTED_VALUE"""),"English, German")</f>
        <v>English, German</v>
      </c>
      <c r="J133" s="21" t="str">
        <f>IFERROR(__xludf.DUMMYFUNCTION("""COMPUTED_VALUE"""),"English")</f>
        <v>English</v>
      </c>
      <c r="K133" s="22">
        <f>IFERROR(__xludf.DUMMYFUNCTION("""COMPUTED_VALUE"""),45203.0)</f>
        <v>45203</v>
      </c>
      <c r="L133" s="23" t="str">
        <f>IFERROR(__xludf.DUMMYFUNCTION("""COMPUTED_VALUE"""),"https://masterplan.com/courses/warum-ki-unglaublich-klug-und-erschreckend-dumm-ist")</f>
        <v>https://masterplan.com/courses/warum-ki-unglaublich-klug-und-erschreckend-dumm-ist</v>
      </c>
    </row>
    <row r="134">
      <c r="A134" s="6" t="str">
        <f>IFERROR(__xludf.DUMMYFUNCTION("""COMPUTED_VALUE"""),"Wie KI Bildung retten (und nicht zerstören) könnte")</f>
        <v>Wie KI Bildung retten (und nicht zerstören) könnte</v>
      </c>
      <c r="B134" s="7" t="str">
        <f>IFERROR(__xludf.DUMMYFUNCTION("""COMPUTED_VALUE"""),"How AI Could Save (Not Destroy) Education")</f>
        <v>How AI Could Save (Not Destroy) Education</v>
      </c>
      <c r="C134" s="8" t="str">
        <f>IFERROR(__xludf.DUMMYFUNCTION("""COMPUTED_VALUE"""),"Was wäre, wenn jede:r Schüler:in einen persönlichen Lehrer hätte? Und was wäre, wenn jede:r Lehrer:in einen persönlichen Coach hätte? Wir zeigen dir, wie die Khan Academy KI einsetzt, um die Bildung zu revolutionieren und zu demokratisieren!")</f>
        <v>Was wäre, wenn jede:r Schüler:in einen persönlichen Lehrer hätte? Und was wäre, wenn jede:r Lehrer:in einen persönlichen Coach hätte? Wir zeigen dir, wie die Khan Academy KI einsetzt, um die Bildung zu revolutionieren und zu demokratisieren!</v>
      </c>
      <c r="D134" s="8" t="str">
        <f>IFERROR(__xludf.DUMMYFUNCTION("""COMPUTED_VALUE"""),"What if every student had a personal teacher? And what if every teacher had a personal coach? Learn how Khan Academy is using AI to revolutionize and democratize education.")</f>
        <v>What if every student had a personal teacher? And what if every teacher had a personal coach? Learn how Khan Academy is using AI to revolutionize and democratize education.</v>
      </c>
      <c r="E134" s="25" t="str">
        <f>IFERROR(__xludf.DUMMYFUNCTION("""COMPUTED_VALUE"""),"Digital Literacy")</f>
        <v>Digital Literacy</v>
      </c>
      <c r="F134" s="10" t="str">
        <f>IFERROR(__xludf.DUMMYFUNCTION("""COMPUTED_VALUE"""),"TED - ")</f>
        <v>TED - </v>
      </c>
      <c r="G134" s="11">
        <f>IFERROR(__xludf.DUMMYFUNCTION("""COMPUTED_VALUE"""),16.0)</f>
        <v>16</v>
      </c>
      <c r="H134" s="11">
        <f>IFERROR(__xludf.DUMMYFUNCTION("""COMPUTED_VALUE"""),3.0)</f>
        <v>3</v>
      </c>
      <c r="I134" s="12" t="str">
        <f>IFERROR(__xludf.DUMMYFUNCTION("""COMPUTED_VALUE"""),"English, German")</f>
        <v>English, German</v>
      </c>
      <c r="J134" s="12" t="str">
        <f>IFERROR(__xludf.DUMMYFUNCTION("""COMPUTED_VALUE"""),"English")</f>
        <v>English</v>
      </c>
      <c r="K134" s="13">
        <f>IFERROR(__xludf.DUMMYFUNCTION("""COMPUTED_VALUE"""),45203.0)</f>
        <v>45203</v>
      </c>
      <c r="L134" s="14" t="str">
        <f>IFERROR(__xludf.DUMMYFUNCTION("""COMPUTED_VALUE"""),"https://masterplan.com/courses/wie-ki-bildung-retten-und-nicht-zerstoren-konnte")</f>
        <v>https://masterplan.com/courses/wie-ki-bildung-retten-und-nicht-zerstoren-konnte</v>
      </c>
    </row>
    <row r="135">
      <c r="A135" s="15" t="str">
        <f>IFERROR(__xludf.DUMMYFUNCTION("""COMPUTED_VALUE"""),"Wie KI jedes Unternehmen stärken könnte")</f>
        <v>Wie KI jedes Unternehmen stärken könnte</v>
      </c>
      <c r="B135" s="16" t="str">
        <f>IFERROR(__xludf.DUMMYFUNCTION("""COMPUTED_VALUE"""),"How AI Could Empower Any Business")</f>
        <v>How AI Could Empower Any Business</v>
      </c>
      <c r="C135" s="17" t="str">
        <f>IFERROR(__xludf.DUMMYFUNCTION("""COMPUTED_VALUE"""),"Andrew Ng hat eine Vision: KI für alle zugänglich machen und jedes Unternehmen dazu befähigen, Entscheidungen für mehr Gewinn und Produktivität zu treffen. Wie wir mit nur wenigen eigenen Datenpunkten eine wohlhabendere Gesellschaft schaffen könnten, erfä"&amp;"hrst du hier.")</f>
        <v>Andrew Ng hat eine Vision: KI für alle zugänglich machen und jedes Unternehmen dazu befähigen, Entscheidungen für mehr Gewinn und Produktivität zu treffen. Wie wir mit nur wenigen eigenen Datenpunkten eine wohlhabendere Gesellschaft schaffen könnten, erfährst du hier.</v>
      </c>
      <c r="D135" s="17" t="str">
        <f>IFERROR(__xludf.DUMMYFUNCTION("""COMPUTED_VALUE"""),"Andrew Ng shares a vision for democratizing access to AI, empowering any business to make decisions that will increase their profit and productivity. Learn how we could build a richer society – all with just a few self-provided data points.")</f>
        <v>Andrew Ng shares a vision for democratizing access to AI, empowering any business to make decisions that will increase their profit and productivity. Learn how we could build a richer society – all with just a few self-provided data points.</v>
      </c>
      <c r="E135" s="25" t="str">
        <f>IFERROR(__xludf.DUMMYFUNCTION("""COMPUTED_VALUE"""),"Digital Literacy")</f>
        <v>Digital Literacy</v>
      </c>
      <c r="F135" s="19" t="str">
        <f>IFERROR(__xludf.DUMMYFUNCTION("""COMPUTED_VALUE"""),"TED - ")</f>
        <v>TED - </v>
      </c>
      <c r="G135" s="20">
        <f>IFERROR(__xludf.DUMMYFUNCTION("""COMPUTED_VALUE"""),11.0)</f>
        <v>11</v>
      </c>
      <c r="H135" s="20">
        <f>IFERROR(__xludf.DUMMYFUNCTION("""COMPUTED_VALUE"""),3.0)</f>
        <v>3</v>
      </c>
      <c r="I135" s="21" t="str">
        <f>IFERROR(__xludf.DUMMYFUNCTION("""COMPUTED_VALUE"""),"English, German")</f>
        <v>English, German</v>
      </c>
      <c r="J135" s="21" t="str">
        <f>IFERROR(__xludf.DUMMYFUNCTION("""COMPUTED_VALUE"""),"English")</f>
        <v>English</v>
      </c>
      <c r="K135" s="22">
        <f>IFERROR(__xludf.DUMMYFUNCTION("""COMPUTED_VALUE"""),45203.0)</f>
        <v>45203</v>
      </c>
      <c r="L135" s="23" t="str">
        <f>IFERROR(__xludf.DUMMYFUNCTION("""COMPUTED_VALUE"""),"https://masterplan.com/courses/wie-ki-jedes-unternehmen-starken-konnte")</f>
        <v>https://masterplan.com/courses/wie-ki-jedes-unternehmen-starken-konnte</v>
      </c>
    </row>
    <row r="136">
      <c r="A136" s="6" t="str">
        <f>IFERROR(__xludf.DUMMYFUNCTION("""COMPUTED_VALUE"""),"Erfolgreiche Präsentationen gestalten: Was du von TED Talks lernen kannst")</f>
        <v>Erfolgreiche Präsentationen gestalten: Was du von TED Talks lernen kannst</v>
      </c>
      <c r="B136" s="7" t="str">
        <f>IFERROR(__xludf.DUMMYFUNCTION("""COMPUTED_VALUE"""),"How to Give a Killer Presentation: Lessons from TED Talks")</f>
        <v>How to Give a Killer Presentation: Lessons from TED Talks</v>
      </c>
      <c r="C136" s="8" t="str">
        <f>IFERROR(__xludf.DUMMYFUNCTION("""COMPUTED_VALUE"""),"Was, wenn jede deiner Präsentationen so inspirierend wäre wie ein TED Talk? Wir haben die Zauberformel: Lerne, auf welchen drei Säulen jede großartige Präsentation beruht und welche Tipps TED-Redner erhalten, um sicherzustellen, dass ihre Botschaft Wirkun"&amp;"g zeigt.")</f>
        <v>Was, wenn jede deiner Präsentationen so inspirierend wäre wie ein TED Talk? Wir haben die Zauberformel: Lerne, auf welchen drei Säulen jede großartige Präsentation beruht und welche Tipps TED-Redner erhalten, um sicherzustellen, dass ihre Botschaft Wirkung zeigt.</v>
      </c>
      <c r="D136" s="8" t="str">
        <f>IFERROR(__xludf.DUMMYFUNCTION("""COMPUTED_VALUE"""),"What if every presentation you gave was as inspiring as a TED talk? After this course, they will be! Learn about the three basic pillars that every great presentation is based on, plus the real tips TED speakers are given to ensure their message makes an "&amp;"impact.")</f>
        <v>What if every presentation you gave was as inspiring as a TED talk? After this course, they will be! Learn about the three basic pillars that every great presentation is based on, plus the real tips TED speakers are given to ensure their message makes an impact.</v>
      </c>
      <c r="E136" s="28" t="str">
        <f>IFERROR(__xludf.DUMMYFUNCTION("""COMPUTED_VALUE"""),"Communication")</f>
        <v>Communication</v>
      </c>
      <c r="F136" s="10" t="str">
        <f>IFERROR(__xludf.DUMMYFUNCTION("""COMPUTED_VALUE"""),"Harvard Business Publishing - ")</f>
        <v>Harvard Business Publishing - </v>
      </c>
      <c r="G136" s="11">
        <f>IFERROR(__xludf.DUMMYFUNCTION("""COMPUTED_VALUE"""),35.0)</f>
        <v>35</v>
      </c>
      <c r="H136" s="11">
        <f>IFERROR(__xludf.DUMMYFUNCTION("""COMPUTED_VALUE"""),6.0)</f>
        <v>6</v>
      </c>
      <c r="I136" s="12" t="str">
        <f>IFERROR(__xludf.DUMMYFUNCTION("""COMPUTED_VALUE"""),"English, German")</f>
        <v>English, German</v>
      </c>
      <c r="J136" s="12" t="str">
        <f>IFERROR(__xludf.DUMMYFUNCTION("""COMPUTED_VALUE"""),"English")</f>
        <v>English</v>
      </c>
      <c r="K136" s="13">
        <f>IFERROR(__xludf.DUMMYFUNCTION("""COMPUTED_VALUE"""),45173.0)</f>
        <v>45173</v>
      </c>
      <c r="L136" s="14" t="str">
        <f>IFERROR(__xludf.DUMMYFUNCTION("""COMPUTED_VALUE"""),"https://masterplan.com/courses/erfolgreiche-prasentationen-gestalten-was-du-von-ted-talks-lernen-kannst")</f>
        <v>https://masterplan.com/courses/erfolgreiche-prasentationen-gestalten-was-du-von-ted-talks-lernen-kannst</v>
      </c>
    </row>
    <row r="137">
      <c r="A137" s="15" t="str">
        <f>IFERROR(__xludf.DUMMYFUNCTION("""COMPUTED_VALUE"""),"Mut zur Veränderung: Innovatives Handeln und Risiken")</f>
        <v>Mut zur Veränderung: Innovatives Handeln und Risiken</v>
      </c>
      <c r="B137" s="16" t="str">
        <f>IFERROR(__xludf.DUMMYFUNCTION("""COMPUTED_VALUE"""),"Spark Innovation by Encouraging Risks")</f>
        <v>Spark Innovation by Encouraging Risks</v>
      </c>
      <c r="C137" s="17" t="str">
        <f>IFERROR(__xludf.DUMMYFUNCTION("""COMPUTED_VALUE"""),"Wenn du Angst hast, Risiken einzugehen, hast du Angst vor Innovation. Erfahre von ausgewählten Harvard-Experten, wie du deinen Mitarbeitenden die Angst vorm Scheitern nehmen und sie ermutigen kannst, Neues zu wagen.")</f>
        <v>Wenn du Angst hast, Risiken einzugehen, hast du Angst vor Innovation. Erfahre von ausgewählten Harvard-Experten, wie du deinen Mitarbeitenden die Angst vorm Scheitern nehmen und sie ermutigen kannst, Neues zu wagen.</v>
      </c>
      <c r="D137" s="17" t="str">
        <f>IFERROR(__xludf.DUMMYFUNCTION("""COMPUTED_VALUE"""),"If you're afraid of taking risks, you're afraid of innovation. How much does your organization encourage people to try... and fail? Learn from some experts at Harvard about how to empower your people to take a chance on something new.")</f>
        <v>If you're afraid of taking risks, you're afraid of innovation. How much does your organization encourage people to try... and fail? Learn from some experts at Harvard about how to empower your people to take a chance on something new.</v>
      </c>
      <c r="E137" s="26" t="str">
        <f>IFERROR(__xludf.DUMMYFUNCTION("""COMPUTED_VALUE"""),"Collaboration and Leadership")</f>
        <v>Collaboration and Leadership</v>
      </c>
      <c r="F137" s="19" t="str">
        <f>IFERROR(__xludf.DUMMYFUNCTION("""COMPUTED_VALUE"""),"Harvard Business Publishing - ")</f>
        <v>Harvard Business Publishing - </v>
      </c>
      <c r="G137" s="20">
        <f>IFERROR(__xludf.DUMMYFUNCTION("""COMPUTED_VALUE"""),7.0)</f>
        <v>7</v>
      </c>
      <c r="H137" s="20">
        <f>IFERROR(__xludf.DUMMYFUNCTION("""COMPUTED_VALUE"""),9.0)</f>
        <v>9</v>
      </c>
      <c r="I137" s="21" t="str">
        <f>IFERROR(__xludf.DUMMYFUNCTION("""COMPUTED_VALUE"""),"English, German")</f>
        <v>English, German</v>
      </c>
      <c r="J137" s="21" t="str">
        <f>IFERROR(__xludf.DUMMYFUNCTION("""COMPUTED_VALUE"""),"English")</f>
        <v>English</v>
      </c>
      <c r="K137" s="22">
        <f>IFERROR(__xludf.DUMMYFUNCTION("""COMPUTED_VALUE"""),45169.0)</f>
        <v>45169</v>
      </c>
      <c r="L137" s="23" t="str">
        <f>IFERROR(__xludf.DUMMYFUNCTION("""COMPUTED_VALUE"""),"https://masterplan.com/courses/mut-zur-veranderung-innovatives-handeln-und-risiken")</f>
        <v>https://masterplan.com/courses/mut-zur-veranderung-innovatives-handeln-und-risiken</v>
      </c>
    </row>
    <row r="138">
      <c r="A138" s="6" t="str">
        <f>IFERROR(__xludf.DUMMYFUNCTION("""COMPUTED_VALUE"""),"Der Produktivitäts-Mythos")</f>
        <v>Der Produktivitäts-Mythos</v>
      </c>
      <c r="B138" s="7" t="str">
        <f>IFERROR(__xludf.DUMMYFUNCTION("""COMPUTED_VALUE"""),"The Productivity Myth")</f>
        <v>The Productivity Myth</v>
      </c>
      <c r="C138" s="8" t="str">
        <f>IFERROR(__xludf.DUMMYFUNCTION("""COMPUTED_VALUE"""),"Produktiv ist jemand, der viel Arbeit in kurzer Zeit erledigen kann, oder? Warum performen Menschen dann aber nicht unbedingt besser, wenn sie doch so ""produktiv"" am Schaffen sind? Nun, die meisten vergessen, dass echte Produktivität ihren Preis hat...")</f>
        <v>Produktiv ist jemand, der viel Arbeit in kurzer Zeit erledigen kann, oder? Warum performen Menschen dann aber nicht unbedingt besser, wenn sie doch so "produktiv" am Schaffen sind? Nun, die meisten vergessen, dass echte Produktivität ihren Preis hat...</v>
      </c>
      <c r="D138" s="8" t="str">
        <f>IFERROR(__xludf.DUMMYFUNCTION("""COMPUTED_VALUE"""),"Productivity is all about getting more done faster, right? So why don't people perform better when they're more ""productive""? Learn about the paradox of balancing time and energy for productivity, and how Sony Pictures got more out of people by demandin"&amp;"g less.")</f>
        <v>Productivity is all about getting more done faster, right? So why don't people perform better when they're more "productive"? Learn about the paradox of balancing time and energy for productivity, and how Sony Pictures got more out of people by demanding less.</v>
      </c>
      <c r="E138" s="24" t="str">
        <f>IFERROR(__xludf.DUMMYFUNCTION("""COMPUTED_VALUE"""),"Emotional Intelligence")</f>
        <v>Emotional Intelligence</v>
      </c>
      <c r="F138" s="10" t="str">
        <f>IFERROR(__xludf.DUMMYFUNCTION("""COMPUTED_VALUE"""),"Harvard Business Publishing - ")</f>
        <v>Harvard Business Publishing - </v>
      </c>
      <c r="G138" s="11">
        <f>IFERROR(__xludf.DUMMYFUNCTION("""COMPUTED_VALUE"""),40.0)</f>
        <v>40</v>
      </c>
      <c r="H138" s="11">
        <f>IFERROR(__xludf.DUMMYFUNCTION("""COMPUTED_VALUE"""),12.0)</f>
        <v>12</v>
      </c>
      <c r="I138" s="12" t="str">
        <f>IFERROR(__xludf.DUMMYFUNCTION("""COMPUTED_VALUE"""),"English, German")</f>
        <v>English, German</v>
      </c>
      <c r="J138" s="12" t="str">
        <f>IFERROR(__xludf.DUMMYFUNCTION("""COMPUTED_VALUE"""),"Text only")</f>
        <v>Text only</v>
      </c>
      <c r="K138" s="13">
        <f>IFERROR(__xludf.DUMMYFUNCTION("""COMPUTED_VALUE"""),45169.0)</f>
        <v>45169</v>
      </c>
      <c r="L138" s="14" t="str">
        <f>IFERROR(__xludf.DUMMYFUNCTION("""COMPUTED_VALUE"""),"https://masterplan.com/courses/der-produktivitats-mythos")</f>
        <v>https://masterplan.com/courses/der-produktivitats-mythos</v>
      </c>
    </row>
    <row r="139">
      <c r="A139" s="15" t="str">
        <f>IFERROR(__xludf.DUMMYFUNCTION("""COMPUTED_VALUE"""),"5 Minuten gegen Rückenschmerzen im Büro")</f>
        <v>5 Minuten gegen Rückenschmerzen im Büro</v>
      </c>
      <c r="B139" s="16" t="str">
        <f>IFERROR(__xludf.DUMMYFUNCTION("""COMPUTED_VALUE"""),"n.a.")</f>
        <v>n.a.</v>
      </c>
      <c r="C139" s="17" t="str">
        <f>IFERROR(__xludf.DUMMYFUNCTION("""COMPUTED_VALUE"""),"Rückenschmerzen sind ein Volksleiden, in der heutigen Zeit vor allem hervorgerufen durch Bewegungsmangel und das einseitige Belasten am Arbeitsplatz. Wir zeigen dir, wie du etwas für deine Rückengesundheit tun kannst – alles was du brauchst, sind 5 Minute"&amp;"n Zeit!")</f>
        <v>Rückenschmerzen sind ein Volksleiden, in der heutigen Zeit vor allem hervorgerufen durch Bewegungsmangel und das einseitige Belasten am Arbeitsplatz. Wir zeigen dir, wie du etwas für deine Rückengesundheit tun kannst – alles was du brauchst, sind 5 Minuten Zeit!</v>
      </c>
      <c r="D139" s="17" t="str">
        <f>IFERROR(__xludf.DUMMYFUNCTION("""COMPUTED_VALUE"""),"n.a.")</f>
        <v>n.a.</v>
      </c>
      <c r="E139" s="24" t="str">
        <f>IFERROR(__xludf.DUMMYFUNCTION("""COMPUTED_VALUE"""),"Emotional Intelligence")</f>
        <v>Emotional Intelligence</v>
      </c>
      <c r="F139" s="19" t="str">
        <f>IFERROR(__xludf.DUMMYFUNCTION("""COMPUTED_VALUE"""),"Ergotopia")</f>
        <v>Ergotopia</v>
      </c>
      <c r="G139" s="20">
        <f>IFERROR(__xludf.DUMMYFUNCTION("""COMPUTED_VALUE"""),5.0)</f>
        <v>5</v>
      </c>
      <c r="H139" s="20">
        <f>IFERROR(__xludf.DUMMYFUNCTION("""COMPUTED_VALUE"""),1.0)</f>
        <v>1</v>
      </c>
      <c r="I139" s="21" t="str">
        <f>IFERROR(__xludf.DUMMYFUNCTION("""COMPUTED_VALUE"""),"German")</f>
        <v>German</v>
      </c>
      <c r="J139" s="21" t="str">
        <f>IFERROR(__xludf.DUMMYFUNCTION("""COMPUTED_VALUE"""),"German")</f>
        <v>German</v>
      </c>
      <c r="K139" s="22">
        <f>IFERROR(__xludf.DUMMYFUNCTION("""COMPUTED_VALUE"""),45169.0)</f>
        <v>45169</v>
      </c>
      <c r="L139" s="23" t="str">
        <f>IFERROR(__xludf.DUMMYFUNCTION("""COMPUTED_VALUE"""),"https://masterplan.com/courses/5-minuten-gegen-ruckenschmerzen-im-buro")</f>
        <v>https://masterplan.com/courses/5-minuten-gegen-ruckenschmerzen-im-buro</v>
      </c>
    </row>
    <row r="140">
      <c r="A140" s="6" t="str">
        <f>IFERROR(__xludf.DUMMYFUNCTION("""COMPUTED_VALUE"""),"10 Minuten Bewegungspause gegen Verspannungen")</f>
        <v>10 Minuten Bewegungspause gegen Verspannungen</v>
      </c>
      <c r="B140" s="7" t="str">
        <f>IFERROR(__xludf.DUMMYFUNCTION("""COMPUTED_VALUE"""),"n.a.")</f>
        <v>n.a.</v>
      </c>
      <c r="C140" s="8" t="str">
        <f>IFERROR(__xludf.DUMMYFUNCTION("""COMPUTED_VALUE"""),"Zeit für eine kurze Bewegungseinheit ist immer! Das Tolle: viele effektive Übungen lassen sich ganz einfach zu Hause durchführen – ohne Equipment! Mach direkt mit: Wir zeigen dir 10 Übungen, die dich beweglicher machen und dir spürbar mehr Energie schenke"&amp;"n!")</f>
        <v>Zeit für eine kurze Bewegungseinheit ist immer! Das Tolle: viele effektive Übungen lassen sich ganz einfach zu Hause durchführen – ohne Equipment! Mach direkt mit: Wir zeigen dir 10 Übungen, die dich beweglicher machen und dir spürbar mehr Energie schenken!</v>
      </c>
      <c r="D140" s="8" t="str">
        <f>IFERROR(__xludf.DUMMYFUNCTION("""COMPUTED_VALUE"""),"n.a.")</f>
        <v>n.a.</v>
      </c>
      <c r="E140" s="24" t="str">
        <f>IFERROR(__xludf.DUMMYFUNCTION("""COMPUTED_VALUE"""),"Emotional Intelligence")</f>
        <v>Emotional Intelligence</v>
      </c>
      <c r="F140" s="10" t="str">
        <f>IFERROR(__xludf.DUMMYFUNCTION("""COMPUTED_VALUE"""),"Ergotopia")</f>
        <v>Ergotopia</v>
      </c>
      <c r="G140" s="11">
        <f>IFERROR(__xludf.DUMMYFUNCTION("""COMPUTED_VALUE"""),13.0)</f>
        <v>13</v>
      </c>
      <c r="H140" s="11">
        <f>IFERROR(__xludf.DUMMYFUNCTION("""COMPUTED_VALUE"""),1.0)</f>
        <v>1</v>
      </c>
      <c r="I140" s="12" t="str">
        <f>IFERROR(__xludf.DUMMYFUNCTION("""COMPUTED_VALUE"""),"German")</f>
        <v>German</v>
      </c>
      <c r="J140" s="12" t="str">
        <f>IFERROR(__xludf.DUMMYFUNCTION("""COMPUTED_VALUE"""),"German")</f>
        <v>German</v>
      </c>
      <c r="K140" s="13">
        <f>IFERROR(__xludf.DUMMYFUNCTION("""COMPUTED_VALUE"""),45169.0)</f>
        <v>45169</v>
      </c>
      <c r="L140" s="14" t="str">
        <f>IFERROR(__xludf.DUMMYFUNCTION("""COMPUTED_VALUE"""),"https://masterplan.com/courses/10-minuten-bewegungspause-gegen-verspannungen")</f>
        <v>https://masterplan.com/courses/10-minuten-bewegungspause-gegen-verspannungen</v>
      </c>
    </row>
    <row r="141">
      <c r="A141" s="15" t="str">
        <f>IFERROR(__xludf.DUMMYFUNCTION("""COMPUTED_VALUE"""),"In 8 Minuten Stress wegatmen &amp; entspannen")</f>
        <v>In 8 Minuten Stress wegatmen &amp; entspannen</v>
      </c>
      <c r="B141" s="16" t="str">
        <f>IFERROR(__xludf.DUMMYFUNCTION("""COMPUTED_VALUE"""),"n.a.")</f>
        <v>n.a.</v>
      </c>
      <c r="C141" s="17" t="str">
        <f>IFERROR(__xludf.DUMMYFUNCTION("""COMPUTED_VALUE"""),"Einfach mal tief durchatmen! Studien konnten zeigen, dass es möglich ist, sich durch bewusstes und langsames Atmen selbst zu beruhigen. Richtig Atmen will allerdings gelernt sein, denn besonders bei Stress oder Überforderung atmen wir falsch...")</f>
        <v>Einfach mal tief durchatmen! Studien konnten zeigen, dass es möglich ist, sich durch bewusstes und langsames Atmen selbst zu beruhigen. Richtig Atmen will allerdings gelernt sein, denn besonders bei Stress oder Überforderung atmen wir falsch...</v>
      </c>
      <c r="D141" s="17" t="str">
        <f>IFERROR(__xludf.DUMMYFUNCTION("""COMPUTED_VALUE"""),"n.a.")</f>
        <v>n.a.</v>
      </c>
      <c r="E141" s="24" t="str">
        <f>IFERROR(__xludf.DUMMYFUNCTION("""COMPUTED_VALUE"""),"Emotional Intelligence")</f>
        <v>Emotional Intelligence</v>
      </c>
      <c r="F141" s="19" t="str">
        <f>IFERROR(__xludf.DUMMYFUNCTION("""COMPUTED_VALUE"""),"Ergotopia")</f>
        <v>Ergotopia</v>
      </c>
      <c r="G141" s="20">
        <f>IFERROR(__xludf.DUMMYFUNCTION("""COMPUTED_VALUE"""),8.0)</f>
        <v>8</v>
      </c>
      <c r="H141" s="20">
        <f>IFERROR(__xludf.DUMMYFUNCTION("""COMPUTED_VALUE"""),1.0)</f>
        <v>1</v>
      </c>
      <c r="I141" s="21" t="str">
        <f>IFERROR(__xludf.DUMMYFUNCTION("""COMPUTED_VALUE"""),"German")</f>
        <v>German</v>
      </c>
      <c r="J141" s="21" t="str">
        <f>IFERROR(__xludf.DUMMYFUNCTION("""COMPUTED_VALUE"""),"German")</f>
        <v>German</v>
      </c>
      <c r="K141" s="22">
        <f>IFERROR(__xludf.DUMMYFUNCTION("""COMPUTED_VALUE"""),45169.0)</f>
        <v>45169</v>
      </c>
      <c r="L141" s="23" t="str">
        <f>IFERROR(__xludf.DUMMYFUNCTION("""COMPUTED_VALUE"""),"https://masterplan.com/courses/in-8-minuten-stress-wegatmen-entspannen")</f>
        <v>https://masterplan.com/courses/in-8-minuten-stress-wegatmen-entspannen</v>
      </c>
    </row>
    <row r="142">
      <c r="A142" s="6" t="str">
        <f>IFERROR(__xludf.DUMMYFUNCTION("""COMPUTED_VALUE"""),"Fluency Illusion")</f>
        <v>Fluency Illusion</v>
      </c>
      <c r="B142" s="7" t="str">
        <f>IFERROR(__xludf.DUMMYFUNCTION("""COMPUTED_VALUE"""),"Fluency Illusion")</f>
        <v>Fluency Illusion</v>
      </c>
      <c r="C142" s="8" t="str">
        <f>IFERROR(__xludf.DUMMYFUNCTION("""COMPUTED_VALUE"""),"Kennst du das: Du bist dabei, etwas Neues zu lernen und meinst, alles verstanden zu haben. Nach einer Woche kannst du dich an die Lerninhalte nicht mehr wirklich erinnern. In diesem Short erfährst du, was die ""Fluency Illusion"" ist und wie du effektiver"&amp;" lernen kannst.")</f>
        <v>Kennst du das: Du bist dabei, etwas Neues zu lernen und meinst, alles verstanden zu haben. Nach einer Woche kannst du dich an die Lerninhalte nicht mehr wirklich erinnern. In diesem Short erfährst du, was die "Fluency Illusion" ist und wie du effektiver lernen kannst.</v>
      </c>
      <c r="D142" s="8" t="str">
        <f>IFERROR(__xludf.DUMMYFUNCTION("""COMPUTED_VALUE"""),"Have you ever experienced this: You've been learning something new and think you've understood it all. But after a week, you can't really remember any of it. In this Short, we'll show you what the ""Fluency Illusion"" is and how you can learn more effecti"&amp;"vely.")</f>
        <v>Have you ever experienced this: You've been learning something new and think you've understood it all. But after a week, you can't really remember any of it. In this Short, we'll show you what the "Fluency Illusion" is and how you can learn more effectively.</v>
      </c>
      <c r="E142" s="29" t="str">
        <f>IFERROR(__xludf.DUMMYFUNCTION("""COMPUTED_VALUE"""),"Thinking and Deciding Clearly")</f>
        <v>Thinking and Deciding Clearly</v>
      </c>
      <c r="F142" s="10" t="str">
        <f>IFERROR(__xludf.DUMMYFUNCTION("""COMPUTED_VALUE"""),"Masterplan - Kolja Wohlleben")</f>
        <v>Masterplan - Kolja Wohlleben</v>
      </c>
      <c r="G142" s="11">
        <f>IFERROR(__xludf.DUMMYFUNCTION("""COMPUTED_VALUE"""),4.0)</f>
        <v>4</v>
      </c>
      <c r="H142" s="11">
        <f>IFERROR(__xludf.DUMMYFUNCTION("""COMPUTED_VALUE"""),3.0)</f>
        <v>3</v>
      </c>
      <c r="I142" s="12" t="str">
        <f>IFERROR(__xludf.DUMMYFUNCTION("""COMPUTED_VALUE"""),"English, German")</f>
        <v>English, German</v>
      </c>
      <c r="J142" s="12" t="str">
        <f>IFERROR(__xludf.DUMMYFUNCTION("""COMPUTED_VALUE"""),"German")</f>
        <v>German</v>
      </c>
      <c r="K142" s="13">
        <f>IFERROR(__xludf.DUMMYFUNCTION("""COMPUTED_VALUE"""),45168.0)</f>
        <v>45168</v>
      </c>
      <c r="L142" s="14" t="str">
        <f>IFERROR(__xludf.DUMMYFUNCTION("""COMPUTED_VALUE"""),"https://masterplan.com/courses/mp-shorts-fluency-illusion")</f>
        <v>https://masterplan.com/courses/mp-shorts-fluency-illusion</v>
      </c>
    </row>
    <row r="143">
      <c r="A143" s="15" t="str">
        <f>IFERROR(__xludf.DUMMYFUNCTION("""COMPUTED_VALUE"""),"Double Loop Learning")</f>
        <v>Double Loop Learning</v>
      </c>
      <c r="B143" s="16" t="str">
        <f>IFERROR(__xludf.DUMMYFUNCTION("""COMPUTED_VALUE"""),"Double Loop Learning")</f>
        <v>Double Loop Learning</v>
      </c>
      <c r="C143" s="17" t="str">
        <f>IFERROR(__xludf.DUMMYFUNCTION("""COMPUTED_VALUE"""),"Wenn es darum geht, Probleme in deinem Team oder Unternehmen zu lösen, reicht ein einziger Lösungsansatz nicht aus. Warum das so ist und wie Double Loop Learning deine Perspektive verändern und zu besseren Ergebnissen führen kann, erfährst du in diesem Sh"&amp;"ort.")</f>
        <v>Wenn es darum geht, Probleme in deinem Team oder Unternehmen zu lösen, reicht ein einziger Lösungsansatz nicht aus. Warum das so ist und wie Double Loop Learning deine Perspektive verändern und zu besseren Ergebnissen führen kann, erfährst du in diesem Short.</v>
      </c>
      <c r="D143" s="17" t="str">
        <f>IFERROR(__xludf.DUMMYFUNCTION("""COMPUTED_VALUE"""),"When it comes to solving problems in your team or organization, one way of solving them is not enough. Find out why that's the case and how Double Loop Learning can change your perspective and lead to better results in this Short.")</f>
        <v>When it comes to solving problems in your team or organization, one way of solving them is not enough. Find out why that's the case and how Double Loop Learning can change your perspective and lead to better results in this Short.</v>
      </c>
      <c r="E143" s="29" t="str">
        <f>IFERROR(__xludf.DUMMYFUNCTION("""COMPUTED_VALUE"""),"Thinking and Deciding Clearly")</f>
        <v>Thinking and Deciding Clearly</v>
      </c>
      <c r="F143" s="19" t="str">
        <f>IFERROR(__xludf.DUMMYFUNCTION("""COMPUTED_VALUE"""),"Masterplan - Nadine Wagenaar")</f>
        <v>Masterplan - Nadine Wagenaar</v>
      </c>
      <c r="G143" s="20">
        <f>IFERROR(__xludf.DUMMYFUNCTION("""COMPUTED_VALUE"""),3.0)</f>
        <v>3</v>
      </c>
      <c r="H143" s="20">
        <f>IFERROR(__xludf.DUMMYFUNCTION("""COMPUTED_VALUE"""),3.0)</f>
        <v>3</v>
      </c>
      <c r="I143" s="21" t="str">
        <f>IFERROR(__xludf.DUMMYFUNCTION("""COMPUTED_VALUE"""),"English, German")</f>
        <v>English, German</v>
      </c>
      <c r="J143" s="21" t="str">
        <f>IFERROR(__xludf.DUMMYFUNCTION("""COMPUTED_VALUE"""),"German")</f>
        <v>German</v>
      </c>
      <c r="K143" s="22">
        <f>IFERROR(__xludf.DUMMYFUNCTION("""COMPUTED_VALUE"""),45168.0)</f>
        <v>45168</v>
      </c>
      <c r="L143" s="23" t="str">
        <f>IFERROR(__xludf.DUMMYFUNCTION("""COMPUTED_VALUE"""),"https://masterplan.com/courses/mp-shorts-double-loop-learning")</f>
        <v>https://masterplan.com/courses/mp-shorts-double-loop-learning</v>
      </c>
    </row>
    <row r="144">
      <c r="A144" s="6" t="str">
        <f>IFERROR(__xludf.DUMMYFUNCTION("""COMPUTED_VALUE"""),"Zeit ist nicht alles: Das Potenzial des Energiemanagements")</f>
        <v>Zeit ist nicht alles: Das Potenzial des Energiemanagements</v>
      </c>
      <c r="B144" s="7" t="str">
        <f>IFERROR(__xludf.DUMMYFUNCTION("""COMPUTED_VALUE"""),"Manage Your Energy, Not Your Time")</f>
        <v>Manage Your Energy, Not Your Time</v>
      </c>
      <c r="C144" s="8" t="str">
        <f>IFERROR(__xludf.DUMMYFUNCTION("""COMPUTED_VALUE"""),"Wie du deine Zeit am besten nutzt? Durch Energiemaximierung! Zeit ist begrenzt, aber es gibt unbegrenzt viele Wege, deine mentale, physische und spirituelle Energie und die deines Teams zu steuern – für Höchstleistungen über alle Grenzen hinweg!")</f>
        <v>Wie du deine Zeit am besten nutzt? Durch Energiemaximierung! Zeit ist begrenzt, aber es gibt unbegrenzt viele Wege, deine mentale, physische und spirituelle Energie und die deines Teams zu steuern – für Höchstleistungen über alle Grenzen hinweg!</v>
      </c>
      <c r="D144" s="8" t="str">
        <f>IFERROR(__xludf.DUMMYFUNCTION("""COMPUTED_VALUE"""),"What's the best use of your time? Making the most of your energy! Time is a finite resource, but there are infinite ways to manage the mental, phyiscal, and spiritual energy of your team and yourself to maximize performance, not just productivity.")</f>
        <v>What's the best use of your time? Making the most of your energy! Time is a finite resource, but there are infinite ways to manage the mental, phyiscal, and spiritual energy of your team and yourself to maximize performance, not just productivity.</v>
      </c>
      <c r="E144" s="24" t="str">
        <f>IFERROR(__xludf.DUMMYFUNCTION("""COMPUTED_VALUE"""),"Emotional Intelligence")</f>
        <v>Emotional Intelligence</v>
      </c>
      <c r="F144" s="10" t="str">
        <f>IFERROR(__xludf.DUMMYFUNCTION("""COMPUTED_VALUE"""),"Harvard Business Publishing - ")</f>
        <v>Harvard Business Publishing - </v>
      </c>
      <c r="G144" s="11">
        <f>IFERROR(__xludf.DUMMYFUNCTION("""COMPUTED_VALUE"""),53.0)</f>
        <v>53</v>
      </c>
      <c r="H144" s="11">
        <f>IFERROR(__xludf.DUMMYFUNCTION("""COMPUTED_VALUE"""),20.0)</f>
        <v>20</v>
      </c>
      <c r="I144" s="12" t="str">
        <f>IFERROR(__xludf.DUMMYFUNCTION("""COMPUTED_VALUE"""),"English, German")</f>
        <v>English, German</v>
      </c>
      <c r="J144" s="12" t="str">
        <f>IFERROR(__xludf.DUMMYFUNCTION("""COMPUTED_VALUE"""),"Text only")</f>
        <v>Text only</v>
      </c>
      <c r="K144" s="13">
        <f>IFERROR(__xludf.DUMMYFUNCTION("""COMPUTED_VALUE"""),45163.0)</f>
        <v>45163</v>
      </c>
      <c r="L144" s="14" t="str">
        <f>IFERROR(__xludf.DUMMYFUNCTION("""COMPUTED_VALUE"""),"https://masterplan.com/courses/zeit-ist-nicht-alles-das-potenzial-desenergiemanagements")</f>
        <v>https://masterplan.com/courses/zeit-ist-nicht-alles-das-potenzial-desenergiemanagements</v>
      </c>
    </row>
    <row r="145">
      <c r="A145" s="15" t="str">
        <f>IFERROR(__xludf.DUMMYFUNCTION("""COMPUTED_VALUE"""),"Teamführung in Zeiten des Wandels: Neue Perspektiven etablieren")</f>
        <v>Teamführung in Zeiten des Wandels: Neue Perspektiven etablieren</v>
      </c>
      <c r="B145" s="16" t="str">
        <f>IFERROR(__xludf.DUMMYFUNCTION("""COMPUTED_VALUE"""),"Change How Your Team Thinks About Change")</f>
        <v>Change How Your Team Thinks About Change</v>
      </c>
      <c r="C145" s="17" t="str">
        <f>IFERROR(__xludf.DUMMYFUNCTION("""COMPUTED_VALUE"""),"Die einzige Konstante im Leben ist der Wandel. Wie gut kann dein Team seine Denkweise ändern? In diesem Kurs erklären dir vier Experten, warum Teams oft so resistent gegen Veränderungen sind und wie du das ändern kannst.")</f>
        <v>Die einzige Konstante im Leben ist der Wandel. Wie gut kann dein Team seine Denkweise ändern? In diesem Kurs erklären dir vier Experten, warum Teams oft so resistent gegen Veränderungen sind und wie du das ändern kannst.</v>
      </c>
      <c r="D145" s="17" t="str">
        <f>IFERROR(__xludf.DUMMYFUNCTION("""COMPUTED_VALUE"""),"The only constant in life is change. How well can your team shift their thinking? In this course, you'll hear insights from four experts about why teams tend to be so resistant to change, and how you can change that.")</f>
        <v>The only constant in life is change. How well can your team shift their thinking? In this course, you'll hear insights from four experts about why teams tend to be so resistant to change, and how you can change that.</v>
      </c>
      <c r="E145" s="26" t="str">
        <f>IFERROR(__xludf.DUMMYFUNCTION("""COMPUTED_VALUE"""),"Collaboration and Leadership")</f>
        <v>Collaboration and Leadership</v>
      </c>
      <c r="F145" s="19" t="str">
        <f>IFERROR(__xludf.DUMMYFUNCTION("""COMPUTED_VALUE"""),"Harvard Business Publishing - ")</f>
        <v>Harvard Business Publishing - </v>
      </c>
      <c r="G145" s="20">
        <f>IFERROR(__xludf.DUMMYFUNCTION("""COMPUTED_VALUE"""),10.0)</f>
        <v>10</v>
      </c>
      <c r="H145" s="20">
        <f>IFERROR(__xludf.DUMMYFUNCTION("""COMPUTED_VALUE"""),10.0)</f>
        <v>10</v>
      </c>
      <c r="I145" s="21" t="str">
        <f>IFERROR(__xludf.DUMMYFUNCTION("""COMPUTED_VALUE"""),"English, German")</f>
        <v>English, German</v>
      </c>
      <c r="J145" s="21" t="str">
        <f>IFERROR(__xludf.DUMMYFUNCTION("""COMPUTED_VALUE"""),"English")</f>
        <v>English</v>
      </c>
      <c r="K145" s="22">
        <f>IFERROR(__xludf.DUMMYFUNCTION("""COMPUTED_VALUE"""),45162.0)</f>
        <v>45162</v>
      </c>
      <c r="L145" s="23" t="str">
        <f>IFERROR(__xludf.DUMMYFUNCTION("""COMPUTED_VALUE"""),"https://masterplan.com/courses/teamfuhrung-in-zeiten-des-wandels-neue-perspektiven-etablieren")</f>
        <v>https://masterplan.com/courses/teamfuhrung-in-zeiten-des-wandels-neue-perspektiven-etablieren</v>
      </c>
    </row>
    <row r="146">
      <c r="A146" s="6" t="str">
        <f>IFERROR(__xludf.DUMMYFUNCTION("""COMPUTED_VALUE"""),"Learning as a Leader")</f>
        <v>Learning as a Leader</v>
      </c>
      <c r="B146" s="7" t="str">
        <f>IFERROR(__xludf.DUMMYFUNCTION("""COMPUTED_VALUE"""),"Learning as a Leader")</f>
        <v>Learning as a Leader</v>
      </c>
      <c r="C146" s="8" t="str">
        <f>IFERROR(__xludf.DUMMYFUNCTION("""COMPUTED_VALUE"""),"Kann man intelligent Scheitern? Sollten wir Erfolge kritisch hinterfragen und wie lernst du aus Fehlern wirklich? Wirf mit Oliver Kahn einen Blick auf die Themen ""Flow"", ""Growth Mindset"" und ""Fear &amp; Futility"". Für mehr persönliches und unternehmeris"&amp;"ches Wachstum! ")</f>
        <v>Kann man intelligent Scheitern? Sollten wir Erfolge kritisch hinterfragen und wie lernst du aus Fehlern wirklich? Wirf mit Oliver Kahn einen Blick auf die Themen "Flow", "Growth Mindset" und "Fear &amp; Futility". Für mehr persönliches und unternehmerisches Wachstum! </v>
      </c>
      <c r="D146" s="8" t="str">
        <f>IFERROR(__xludf.DUMMYFUNCTION("""COMPUTED_VALUE"""),"Is there a right way to fail? Why should we be critical of successes, and thankful for failures? Here Oliver Kahn walks you through his take on fostering a Growth Mindset, dealing with fear and futility, and how to get in the ""flow"", so you can learn li"&amp;"ke a leader!")</f>
        <v>Is there a right way to fail? Why should we be critical of successes, and thankful for failures? Here Oliver Kahn walks you through his take on fostering a Growth Mindset, dealing with fear and futility, and how to get in the "flow", so you can learn like a leader!</v>
      </c>
      <c r="E146" s="26" t="str">
        <f>IFERROR(__xludf.DUMMYFUNCTION("""COMPUTED_VALUE"""),"Collaboration and Leadership")</f>
        <v>Collaboration and Leadership</v>
      </c>
      <c r="F146" s="10" t="str">
        <f>IFERROR(__xludf.DUMMYFUNCTION("""COMPUTED_VALUE"""),"Oliver Kahn Stiftung")</f>
        <v>Oliver Kahn Stiftung</v>
      </c>
      <c r="G146" s="11">
        <f>IFERROR(__xludf.DUMMYFUNCTION("""COMPUTED_VALUE"""),46.0)</f>
        <v>46</v>
      </c>
      <c r="H146" s="11">
        <f>IFERROR(__xludf.DUMMYFUNCTION("""COMPUTED_VALUE"""),18.0)</f>
        <v>18</v>
      </c>
      <c r="I146" s="12" t="str">
        <f>IFERROR(__xludf.DUMMYFUNCTION("""COMPUTED_VALUE"""),"English, German")</f>
        <v>English, German</v>
      </c>
      <c r="J146" s="12" t="str">
        <f>IFERROR(__xludf.DUMMYFUNCTION("""COMPUTED_VALUE"""),"English, German")</f>
        <v>English, German</v>
      </c>
      <c r="K146" s="13">
        <f>IFERROR(__xludf.DUMMYFUNCTION("""COMPUTED_VALUE"""),45160.0)</f>
        <v>45160</v>
      </c>
      <c r="L146" s="14" t="str">
        <f>IFERROR(__xludf.DUMMYFUNCTION("""COMPUTED_VALUE"""),"https://masterplan.com/courses/learning-as-a-leader")</f>
        <v>https://masterplan.com/courses/learning-as-a-leader</v>
      </c>
    </row>
    <row r="147">
      <c r="A147" s="15" t="str">
        <f>IFERROR(__xludf.DUMMYFUNCTION("""COMPUTED_VALUE"""),"Die Inversionstaktik")</f>
        <v>Die Inversionstaktik</v>
      </c>
      <c r="B147" s="16" t="str">
        <f>IFERROR(__xludf.DUMMYFUNCTION("""COMPUTED_VALUE"""),"Inversion Tactic")</f>
        <v>Inversion Tactic</v>
      </c>
      <c r="C147" s="17" t="str">
        <f>IFERROR(__xludf.DUMMYFUNCTION("""COMPUTED_VALUE"""),"Stoiker, Mathematiker, Milliardäre – sie alle nutzen die Inversionstaktik zur Problemlösung. Finde heraus, wie ein einfacher Perspektivwechsel auch dir helfen kann, Probleme effektiver zu lösen, Denkfehler zu umgehen und deine Denkmuster zu durchbrechen!")</f>
        <v>Stoiker, Mathematiker, Milliardäre – sie alle nutzen die Inversionstaktik zur Problemlösung. Finde heraus, wie ein einfacher Perspektivwechsel auch dir helfen kann, Probleme effektiver zu lösen, Denkfehler zu umgehen und deine Denkmuster zu durchbrechen!</v>
      </c>
      <c r="D147" s="17" t="str">
        <f>IFERROR(__xludf.DUMMYFUNCTION("""COMPUTED_VALUE"""),"Stoics, mathematicians, billionaires - they all use inversion tactics to find solutions to problems. Find out how a simple change of perspective can help you solve problems more effectively, avoid errors in your thinking, and break your thought patterns!")</f>
        <v>Stoics, mathematicians, billionaires - they all use inversion tactics to find solutions to problems. Find out how a simple change of perspective can help you solve problems more effectively, avoid errors in your thinking, and break your thought patterns!</v>
      </c>
      <c r="E147" s="29" t="str">
        <f>IFERROR(__xludf.DUMMYFUNCTION("""COMPUTED_VALUE"""),"Thinking and Deciding Clearly")</f>
        <v>Thinking and Deciding Clearly</v>
      </c>
      <c r="F147" s="19" t="str">
        <f>IFERROR(__xludf.DUMMYFUNCTION("""COMPUTED_VALUE"""),"Masterplan - Laura Graichen")</f>
        <v>Masterplan - Laura Graichen</v>
      </c>
      <c r="G147" s="20">
        <f>IFERROR(__xludf.DUMMYFUNCTION("""COMPUTED_VALUE"""),3.0)</f>
        <v>3</v>
      </c>
      <c r="H147" s="20">
        <f>IFERROR(__xludf.DUMMYFUNCTION("""COMPUTED_VALUE"""),3.0)</f>
        <v>3</v>
      </c>
      <c r="I147" s="21" t="str">
        <f>IFERROR(__xludf.DUMMYFUNCTION("""COMPUTED_VALUE"""),"English, German")</f>
        <v>English, German</v>
      </c>
      <c r="J147" s="21" t="str">
        <f>IFERROR(__xludf.DUMMYFUNCTION("""COMPUTED_VALUE"""),"German")</f>
        <v>German</v>
      </c>
      <c r="K147" s="22">
        <f>IFERROR(__xludf.DUMMYFUNCTION("""COMPUTED_VALUE"""),45147.0)</f>
        <v>45147</v>
      </c>
      <c r="L147" s="23" t="str">
        <f>IFERROR(__xludf.DUMMYFUNCTION("""COMPUTED_VALUE"""),"https://masterplan.com/courses/mp-shorts-die-inversionstaktik")</f>
        <v>https://masterplan.com/courses/mp-shorts-die-inversionstaktik</v>
      </c>
    </row>
    <row r="148">
      <c r="A148" s="6" t="str">
        <f>IFERROR(__xludf.DUMMYFUNCTION("""COMPUTED_VALUE"""),"Der Negativity Bias")</f>
        <v>Der Negativity Bias</v>
      </c>
      <c r="B148" s="7" t="str">
        <f>IFERROR(__xludf.DUMMYFUNCTION("""COMPUTED_VALUE"""),"Negativity Bias")</f>
        <v>Negativity Bias</v>
      </c>
      <c r="C148" s="8" t="str">
        <f>IFERROR(__xludf.DUMMYFUNCTION("""COMPUTED_VALUE"""),"Als Menschen neigen wir oft dazu, uns auf das Negative zu konzentrieren, obwohl uns das nicht gut tut. In diesem Short erfährst du, warum unser Gehirn so programmiert ist und was du dagegen tun kannst!")</f>
        <v>Als Menschen neigen wir oft dazu, uns auf das Negative zu konzentrieren, obwohl uns das nicht gut tut. In diesem Short erfährst du, warum unser Gehirn so programmiert ist und was du dagegen tun kannst!</v>
      </c>
      <c r="D148" s="8" t="str">
        <f>IFERROR(__xludf.DUMMYFUNCTION("""COMPUTED_VALUE"""),"As humans, we often tend to focus on the negative, even though it's not good for us. In this Short, you'll learn why our brains are programmed that way and what you can do about it!")</f>
        <v>As humans, we often tend to focus on the negative, even though it's not good for us. In this Short, you'll learn why our brains are programmed that way and what you can do about it!</v>
      </c>
      <c r="E148" s="29" t="str">
        <f>IFERROR(__xludf.DUMMYFUNCTION("""COMPUTED_VALUE"""),"Thinking and Deciding Clearly")</f>
        <v>Thinking and Deciding Clearly</v>
      </c>
      <c r="F148" s="10" t="str">
        <f>IFERROR(__xludf.DUMMYFUNCTION("""COMPUTED_VALUE"""),"Masterplan - Laura Graichen")</f>
        <v>Masterplan - Laura Graichen</v>
      </c>
      <c r="G148" s="11">
        <f>IFERROR(__xludf.DUMMYFUNCTION("""COMPUTED_VALUE"""),4.0)</f>
        <v>4</v>
      </c>
      <c r="H148" s="11">
        <f>IFERROR(__xludf.DUMMYFUNCTION("""COMPUTED_VALUE"""),3.0)</f>
        <v>3</v>
      </c>
      <c r="I148" s="12" t="str">
        <f>IFERROR(__xludf.DUMMYFUNCTION("""COMPUTED_VALUE"""),"English, German")</f>
        <v>English, German</v>
      </c>
      <c r="J148" s="12" t="str">
        <f>IFERROR(__xludf.DUMMYFUNCTION("""COMPUTED_VALUE"""),"German")</f>
        <v>German</v>
      </c>
      <c r="K148" s="13">
        <f>IFERROR(__xludf.DUMMYFUNCTION("""COMPUTED_VALUE"""),45147.0)</f>
        <v>45147</v>
      </c>
      <c r="L148" s="14" t="str">
        <f>IFERROR(__xludf.DUMMYFUNCTION("""COMPUTED_VALUE"""),"https://masterplan.com/courses/mp-shorts-der-negativity-bias")</f>
        <v>https://masterplan.com/courses/mp-shorts-der-negativity-bias</v>
      </c>
    </row>
    <row r="149">
      <c r="A149" s="15" t="str">
        <f>IFERROR(__xludf.DUMMYFUNCTION("""COMPUTED_VALUE"""),"Creative Problem Solving")</f>
        <v>Creative Problem Solving</v>
      </c>
      <c r="B149" s="16" t="str">
        <f>IFERROR(__xludf.DUMMYFUNCTION("""COMPUTED_VALUE"""),"Creative Problem Solving")</f>
        <v>Creative Problem Solving</v>
      </c>
      <c r="C149" s="17" t="str">
        <f>IFERROR(__xludf.DUMMYFUNCTION("""COMPUTED_VALUE"""),"Müde von Kreativblockaden und fehlenden Ideen? Dann könnte Creative Problem Solving genau das richtige für dich sein! Strukturiere dein Denken neu und finde so innovative Lösungen!")</f>
        <v>Müde von Kreativblockaden und fehlenden Ideen? Dann könnte Creative Problem Solving genau das richtige für dich sein! Strukturiere dein Denken neu und finde so innovative Lösungen!</v>
      </c>
      <c r="D149" s="17" t="str">
        <f>IFERROR(__xludf.DUMMYFUNCTION("""COMPUTED_VALUE"""),"Tired of creative blocks and a lack of ideas? Creative Problem Solving might be just what you're looking for! Restructure your thinking in order to find innovative solutions!")</f>
        <v>Tired of creative blocks and a lack of ideas? Creative Problem Solving might be just what you're looking for! Restructure your thinking in order to find innovative solutions!</v>
      </c>
      <c r="E149" s="29" t="str">
        <f>IFERROR(__xludf.DUMMYFUNCTION("""COMPUTED_VALUE"""),"Thinking and Deciding Clearly")</f>
        <v>Thinking and Deciding Clearly</v>
      </c>
      <c r="F149" s="19" t="str">
        <f>IFERROR(__xludf.DUMMYFUNCTION("""COMPUTED_VALUE"""),"Masterplan - Laura Graichen")</f>
        <v>Masterplan - Laura Graichen</v>
      </c>
      <c r="G149" s="20">
        <f>IFERROR(__xludf.DUMMYFUNCTION("""COMPUTED_VALUE"""),4.0)</f>
        <v>4</v>
      </c>
      <c r="H149" s="20">
        <f>IFERROR(__xludf.DUMMYFUNCTION("""COMPUTED_VALUE"""),3.0)</f>
        <v>3</v>
      </c>
      <c r="I149" s="21" t="str">
        <f>IFERROR(__xludf.DUMMYFUNCTION("""COMPUTED_VALUE"""),"English, German")</f>
        <v>English, German</v>
      </c>
      <c r="J149" s="21" t="str">
        <f>IFERROR(__xludf.DUMMYFUNCTION("""COMPUTED_VALUE"""),"German")</f>
        <v>German</v>
      </c>
      <c r="K149" s="22">
        <f>IFERROR(__xludf.DUMMYFUNCTION("""COMPUTED_VALUE"""),45147.0)</f>
        <v>45147</v>
      </c>
      <c r="L149" s="23" t="str">
        <f>IFERROR(__xludf.DUMMYFUNCTION("""COMPUTED_VALUE"""),"https://masterplan.com/courses/mp-shorts-creative-problem-solving")</f>
        <v>https://masterplan.com/courses/mp-shorts-creative-problem-solving</v>
      </c>
    </row>
    <row r="150">
      <c r="A150" s="6" t="str">
        <f>IFERROR(__xludf.DUMMYFUNCTION("""COMPUTED_VALUE"""),"Ziele setzen, Erfolge ernten: Die Kunst des Managements")</f>
        <v>Ziele setzen, Erfolge ernten: Die Kunst des Managements</v>
      </c>
      <c r="B150" s="7" t="str">
        <f>IFERROR(__xludf.DUMMYFUNCTION("""COMPUTED_VALUE"""),"Goal Setting for Managers")</f>
        <v>Goal Setting for Managers</v>
      </c>
      <c r="C150" s="8" t="str">
        <f>IFERROR(__xludf.DUMMYFUNCTION("""COMPUTED_VALUE"""),"Du weißt, wie man Ziele setzt, aber wie stellst du sicher, dass du sie auch erreichst? In diesem Kurs erhältst du einen praktischen Rahmen, um effektive Ziele für dein Team zu setzen und diese dann in Taten umzuwandeln, die euch alle zum Erfolg führen wer"&amp;"den.")</f>
        <v>Du weißt, wie man Ziele setzt, aber wie stellst du sicher, dass du sie auch erreichst? In diesem Kurs erhältst du einen praktischen Rahmen, um effektive Ziele für dein Team zu setzen und diese dann in Taten umzuwandeln, die euch alle zum Erfolg führen werden.</v>
      </c>
      <c r="D150" s="8" t="str">
        <f>IFERROR(__xludf.DUMMYFUNCTION("""COMPUTED_VALUE"""),"We all know how to set goals, but how can we make sure we achieve them? In this course, you'll learn practical frameworks for setting effective goals for your team which translate into the actions and results that will lead you all to success.")</f>
        <v>We all know how to set goals, but how can we make sure we achieve them? In this course, you'll learn practical frameworks for setting effective goals for your team which translate into the actions and results that will lead you all to success.</v>
      </c>
      <c r="E150" s="26" t="str">
        <f>IFERROR(__xludf.DUMMYFUNCTION("""COMPUTED_VALUE"""),"Collaboration and Leadership")</f>
        <v>Collaboration and Leadership</v>
      </c>
      <c r="F150" s="10" t="str">
        <f>IFERROR(__xludf.DUMMYFUNCTION("""COMPUTED_VALUE"""),"Intellezy - Brian Powers")</f>
        <v>Intellezy - Brian Powers</v>
      </c>
      <c r="G150" s="11">
        <f>IFERROR(__xludf.DUMMYFUNCTION("""COMPUTED_VALUE"""),33.0)</f>
        <v>33</v>
      </c>
      <c r="H150" s="11">
        <f>IFERROR(__xludf.DUMMYFUNCTION("""COMPUTED_VALUE"""),18.0)</f>
        <v>18</v>
      </c>
      <c r="I150" s="12" t="str">
        <f>IFERROR(__xludf.DUMMYFUNCTION("""COMPUTED_VALUE"""),"English, German")</f>
        <v>English, German</v>
      </c>
      <c r="J150" s="12" t="str">
        <f>IFERROR(__xludf.DUMMYFUNCTION("""COMPUTED_VALUE"""),"English")</f>
        <v>English</v>
      </c>
      <c r="K150" s="13">
        <f>IFERROR(__xludf.DUMMYFUNCTION("""COMPUTED_VALUE"""),45138.0)</f>
        <v>45138</v>
      </c>
      <c r="L150" s="14" t="str">
        <f>IFERROR(__xludf.DUMMYFUNCTION("""COMPUTED_VALUE"""),"https://masterplan.com/courses/ziele-setzen-erfolge-ernten-die-kunst-des-managements")</f>
        <v>https://masterplan.com/courses/ziele-setzen-erfolge-ernten-die-kunst-des-managements</v>
      </c>
    </row>
    <row r="151">
      <c r="A151" s="15" t="str">
        <f>IFERROR(__xludf.DUMMYFUNCTION("""COMPUTED_VALUE"""),"Hochsensibilität")</f>
        <v>Hochsensibilität</v>
      </c>
      <c r="B151" s="16" t="str">
        <f>IFERROR(__xludf.DUMMYFUNCTION("""COMPUTED_VALUE"""),"Hypersensitivity")</f>
        <v>Hypersensitivity</v>
      </c>
      <c r="C151" s="17" t="str">
        <f>IFERROR(__xludf.DUMMYFUNCTION("""COMPUTED_VALUE"""),"Hochsensibilität wird oft missverstanden. In diesem Short gehen wir der Frage nach, was es wirklich bedeutet, hochsensibel zu sein, woher diese Eigenschaft kommen kann und wie man im Alltag mit ihr umgehen kann.")</f>
        <v>Hochsensibilität wird oft missverstanden. In diesem Short gehen wir der Frage nach, was es wirklich bedeutet, hochsensibel zu sein, woher diese Eigenschaft kommen kann und wie man im Alltag mit ihr umgehen kann.</v>
      </c>
      <c r="D151" s="17" t="str">
        <f>IFERROR(__xludf.DUMMYFUNCTION("""COMPUTED_VALUE"""),"Hypersensitivity is often misunderstood. In this Short, we explore what it truly means to be highly sensitive, where this characteristic may come from, and how you can manage it in everyday life.")</f>
        <v>Hypersensitivity is often misunderstood. In this Short, we explore what it truly means to be highly sensitive, where this characteristic may come from, and how you can manage it in everyday life.</v>
      </c>
      <c r="E151" s="24" t="str">
        <f>IFERROR(__xludf.DUMMYFUNCTION("""COMPUTED_VALUE"""),"Emotional Intelligence")</f>
        <v>Emotional Intelligence</v>
      </c>
      <c r="F151" s="19" t="str">
        <f>IFERROR(__xludf.DUMMYFUNCTION("""COMPUTED_VALUE"""),"Masterplan - Nadine Wagenaar")</f>
        <v>Masterplan - Nadine Wagenaar</v>
      </c>
      <c r="G151" s="20">
        <f>IFERROR(__xludf.DUMMYFUNCTION("""COMPUTED_VALUE"""),4.0)</f>
        <v>4</v>
      </c>
      <c r="H151" s="20">
        <f>IFERROR(__xludf.DUMMYFUNCTION("""COMPUTED_VALUE"""),3.0)</f>
        <v>3</v>
      </c>
      <c r="I151" s="21" t="str">
        <f>IFERROR(__xludf.DUMMYFUNCTION("""COMPUTED_VALUE"""),"English, German")</f>
        <v>English, German</v>
      </c>
      <c r="J151" s="21" t="str">
        <f>IFERROR(__xludf.DUMMYFUNCTION("""COMPUTED_VALUE"""),"English, German")</f>
        <v>English, German</v>
      </c>
      <c r="K151" s="22">
        <f>IFERROR(__xludf.DUMMYFUNCTION("""COMPUTED_VALUE"""),45134.0)</f>
        <v>45134</v>
      </c>
      <c r="L151" s="23" t="str">
        <f>IFERROR(__xludf.DUMMYFUNCTION("""COMPUTED_VALUE"""),"https://masterplan.com/courses/mp-shorts-hochsensibilitaet")</f>
        <v>https://masterplan.com/courses/mp-shorts-hochsensibilitaet</v>
      </c>
    </row>
    <row r="152">
      <c r="A152" s="6" t="str">
        <f>IFERROR(__xludf.DUMMYFUNCTION("""COMPUTED_VALUE"""),"Task Paralysis")</f>
        <v>Task Paralysis</v>
      </c>
      <c r="B152" s="7" t="str">
        <f>IFERROR(__xludf.DUMMYFUNCTION("""COMPUTED_VALUE"""),"Task Paralysis")</f>
        <v>Task Paralysis</v>
      </c>
      <c r="C152" s="8" t="str">
        <f>IFERROR(__xludf.DUMMYFUNCTION("""COMPUTED_VALUE"""),"Fühlst du dich von den Aufgaben so überwältigt, dass du dich wie paralysiert fühlst? In diesem Short erfährst du, wie uns die ""Task Paralysis"" packt, und lernst wirksame Strategien, um sie zu überwinden.")</f>
        <v>Fühlst du dich von den Aufgaben so überwältigt, dass du dich wie paralysiert fühlst? In diesem Short erfährst du, wie uns die "Task Paralysis" packt, und lernst wirksame Strategien, um sie zu überwinden.</v>
      </c>
      <c r="D152" s="8" t="str">
        <f>IFERROR(__xludf.DUMMYFUNCTION("""COMPUTED_VALUE"""),"Feeling overwhelmed with tasks to the point of paralysis? Understand how 'Task Paralysis' grips us and learn effective strategies to overcome it in this Short.")</f>
        <v>Feeling overwhelmed with tasks to the point of paralysis? Understand how 'Task Paralysis' grips us and learn effective strategies to overcome it in this Short.</v>
      </c>
      <c r="E152" s="24" t="str">
        <f>IFERROR(__xludf.DUMMYFUNCTION("""COMPUTED_VALUE"""),"Emotional Intelligence")</f>
        <v>Emotional Intelligence</v>
      </c>
      <c r="F152" s="10" t="str">
        <f>IFERROR(__xludf.DUMMYFUNCTION("""COMPUTED_VALUE"""),"Masterplan - Laura Graichen")</f>
        <v>Masterplan - Laura Graichen</v>
      </c>
      <c r="G152" s="11">
        <f>IFERROR(__xludf.DUMMYFUNCTION("""COMPUTED_VALUE"""),3.0)</f>
        <v>3</v>
      </c>
      <c r="H152" s="11">
        <f>IFERROR(__xludf.DUMMYFUNCTION("""COMPUTED_VALUE"""),3.0)</f>
        <v>3</v>
      </c>
      <c r="I152" s="12" t="str">
        <f>IFERROR(__xludf.DUMMYFUNCTION("""COMPUTED_VALUE"""),"English, German")</f>
        <v>English, German</v>
      </c>
      <c r="J152" s="12" t="str">
        <f>IFERROR(__xludf.DUMMYFUNCTION("""COMPUTED_VALUE"""),"German")</f>
        <v>German</v>
      </c>
      <c r="K152" s="13">
        <f>IFERROR(__xludf.DUMMYFUNCTION("""COMPUTED_VALUE"""),45134.0)</f>
        <v>45134</v>
      </c>
      <c r="L152" s="14" t="str">
        <f>IFERROR(__xludf.DUMMYFUNCTION("""COMPUTED_VALUE"""),"https://masterplan.com/courses/mp-shorts-task-paralysis")</f>
        <v>https://masterplan.com/courses/mp-shorts-task-paralysis</v>
      </c>
    </row>
    <row r="153">
      <c r="A153" s="15" t="str">
        <f>IFERROR(__xludf.DUMMYFUNCTION("""COMPUTED_VALUE"""),"Der Odysseus-Pakt")</f>
        <v>Der Odysseus-Pakt</v>
      </c>
      <c r="B153" s="16" t="str">
        <f>IFERROR(__xludf.DUMMYFUNCTION("""COMPUTED_VALUE"""),"The Ulysses Pact")</f>
        <v>The Ulysses Pact</v>
      </c>
      <c r="C153" s="17" t="str">
        <f>IFERROR(__xludf.DUMMYFUNCTION("""COMPUTED_VALUE"""),"Fällt es dir schwer, an deinen Zielen festzuhalten? Hier erfährst du, wie der von der griechischen Mythologie inspirierte Odysseus-Pakt dir helfen kann, deinen Fokus und deinen Einsatz aufrechtzuerhalten!")</f>
        <v>Fällt es dir schwer, an deinen Zielen festzuhalten? Hier erfährst du, wie der von der griechischen Mythologie inspirierte Odysseus-Pakt dir helfen kann, deinen Fokus und deinen Einsatz aufrechtzuerhalten!</v>
      </c>
      <c r="D153" s="17" t="str">
        <f>IFERROR(__xludf.DUMMYFUNCTION("""COMPUTED_VALUE"""),"Finding it difficult to stick to your goals? Learn how the Ulysses Pact, inspired by ancient Greek mythology, can help you maintain your focus and commitment!")</f>
        <v>Finding it difficult to stick to your goals? Learn how the Ulysses Pact, inspired by ancient Greek mythology, can help you maintain your focus and commitment!</v>
      </c>
      <c r="E153" s="29" t="str">
        <f>IFERROR(__xludf.DUMMYFUNCTION("""COMPUTED_VALUE"""),"Thinking and Deciding Clearly")</f>
        <v>Thinking and Deciding Clearly</v>
      </c>
      <c r="F153" s="19" t="str">
        <f>IFERROR(__xludf.DUMMYFUNCTION("""COMPUTED_VALUE"""),"Masterplan - Kolja Wohlleben")</f>
        <v>Masterplan - Kolja Wohlleben</v>
      </c>
      <c r="G153" s="20">
        <f>IFERROR(__xludf.DUMMYFUNCTION("""COMPUTED_VALUE"""),2.0)</f>
        <v>2</v>
      </c>
      <c r="H153" s="20">
        <f>IFERROR(__xludf.DUMMYFUNCTION("""COMPUTED_VALUE"""),3.0)</f>
        <v>3</v>
      </c>
      <c r="I153" s="21" t="str">
        <f>IFERROR(__xludf.DUMMYFUNCTION("""COMPUTED_VALUE"""),"English, German")</f>
        <v>English, German</v>
      </c>
      <c r="J153" s="21" t="str">
        <f>IFERROR(__xludf.DUMMYFUNCTION("""COMPUTED_VALUE"""),"German")</f>
        <v>German</v>
      </c>
      <c r="K153" s="22">
        <f>IFERROR(__xludf.DUMMYFUNCTION("""COMPUTED_VALUE"""),45134.0)</f>
        <v>45134</v>
      </c>
      <c r="L153" s="23" t="str">
        <f>IFERROR(__xludf.DUMMYFUNCTION("""COMPUTED_VALUE"""),"https://masterplan.com/courses/mp-shorts-der-odysseus-pakt")</f>
        <v>https://masterplan.com/courses/mp-shorts-der-odysseus-pakt</v>
      </c>
    </row>
    <row r="154">
      <c r="A154" s="6" t="str">
        <f>IFERROR(__xludf.DUMMYFUNCTION("""COMPUTED_VALUE"""),"Veränderungen meistern - Effektives Change Management")</f>
        <v>Veränderungen meistern - Effektives Change Management</v>
      </c>
      <c r="B154" s="7" t="str">
        <f>IFERROR(__xludf.DUMMYFUNCTION("""COMPUTED_VALUE"""),"Everyday Change Management")</f>
        <v>Everyday Change Management</v>
      </c>
      <c r="C154" s="8" t="str">
        <f>IFERROR(__xludf.DUMMYFUNCTION("""COMPUTED_VALUE"""),"Die einzige Konstante ist der Wandel – ist dein Team dafür gewappnet? Nach diesen Lektionen und praktischen Übungen wirst du souverän neue Herausforderungen meistern und dein Unternehmen so positionieren, dass es in einer ständig verändernden Welt überleb"&amp;"t und floriert.")</f>
        <v>Die einzige Konstante ist der Wandel – ist dein Team dafür gewappnet? Nach diesen Lektionen und praktischen Übungen wirst du souverän neue Herausforderungen meistern und dein Unternehmen so positionieren, dass es in einer ständig verändernden Welt überlebt und floriert.</v>
      </c>
      <c r="D154" s="8" t="str">
        <f>IFERROR(__xludf.DUMMYFUNCTION("""COMPUTED_VALUE"""),"The only constant is change– do you and your team know how to handle it? After these lessons and hands-on exercises, you'll be an expert at managing new challenges so that your business can survive and thrive in an ever-changing world.")</f>
        <v>The only constant is change– do you and your team know how to handle it? After these lessons and hands-on exercises, you'll be an expert at managing new challenges so that your business can survive and thrive in an ever-changing world.</v>
      </c>
      <c r="E154" s="26" t="str">
        <f>IFERROR(__xludf.DUMMYFUNCTION("""COMPUTED_VALUE"""),"Collaboration and Leadership")</f>
        <v>Collaboration and Leadership</v>
      </c>
      <c r="F154" s="10" t="str">
        <f>IFERROR(__xludf.DUMMYFUNCTION("""COMPUTED_VALUE"""),"Intellezy - Brian Powers")</f>
        <v>Intellezy - Brian Powers</v>
      </c>
      <c r="G154" s="11">
        <f>IFERROR(__xludf.DUMMYFUNCTION("""COMPUTED_VALUE"""),46.0)</f>
        <v>46</v>
      </c>
      <c r="H154" s="11">
        <f>IFERROR(__xludf.DUMMYFUNCTION("""COMPUTED_VALUE"""),14.0)</f>
        <v>14</v>
      </c>
      <c r="I154" s="12" t="str">
        <f>IFERROR(__xludf.DUMMYFUNCTION("""COMPUTED_VALUE"""),"English, German")</f>
        <v>English, German</v>
      </c>
      <c r="J154" s="12" t="str">
        <f>IFERROR(__xludf.DUMMYFUNCTION("""COMPUTED_VALUE"""),"English")</f>
        <v>English</v>
      </c>
      <c r="K154" s="13">
        <f>IFERROR(__xludf.DUMMYFUNCTION("""COMPUTED_VALUE"""),45134.0)</f>
        <v>45134</v>
      </c>
      <c r="L154" s="14" t="str">
        <f>IFERROR(__xludf.DUMMYFUNCTION("""COMPUTED_VALUE"""),"https://masterplan.com/courses/veraenderungen-meistern-effektives-change-management")</f>
        <v>https://masterplan.com/courses/veraenderungen-meistern-effektives-change-management</v>
      </c>
    </row>
    <row r="155">
      <c r="A155" s="15" t="str">
        <f>IFERROR(__xludf.DUMMYFUNCTION("""COMPUTED_VALUE"""),"Power-Teams: Gemeinsam Spitzenleistungen erreichen")</f>
        <v>Power-Teams: Gemeinsam Spitzenleistungen erreichen</v>
      </c>
      <c r="B155" s="16" t="str">
        <f>IFERROR(__xludf.DUMMYFUNCTION("""COMPUTED_VALUE"""),"Building High Performance Teams")</f>
        <v>Building High Performance Teams</v>
      </c>
      <c r="C155" s="17" t="str">
        <f>IFERROR(__xludf.DUMMYFUNCTION("""COMPUTED_VALUE"""),"Was ist der Unterschied zwischen einem guten, einem großartigen und einem High Performance Team? Hier lernst du die fünf Phasen, die ein Team durchläuft, um ein leistungsstarkes Team zu werden und wie du diese Entwicklung in jedem Schritt unterstützen kan"&amp;"nst.")</f>
        <v>Was ist der Unterschied zwischen einem guten, einem großartigen und einem High Performance Team? Hier lernst du die fünf Phasen, die ein Team durchläuft, um ein leistungsstarkes Team zu werden und wie du diese Entwicklung in jedem Schritt unterstützen kannst.</v>
      </c>
      <c r="D155" s="17" t="str">
        <f>IFERROR(__xludf.DUMMYFUNCTION("""COMPUTED_VALUE"""),"What makes the difference between a good team, a great team, and a High Performance Team? Here you'll learn about the five stages a team goes through in order to become High Performing, and how managers can support that development every step of the way.")</f>
        <v>What makes the difference between a good team, a great team, and a High Performance Team? Here you'll learn about the five stages a team goes through in order to become High Performing, and how managers can support that development every step of the way.</v>
      </c>
      <c r="E155" s="26" t="str">
        <f>IFERROR(__xludf.DUMMYFUNCTION("""COMPUTED_VALUE"""),"Collaboration and Leadership")</f>
        <v>Collaboration and Leadership</v>
      </c>
      <c r="F155" s="19" t="str">
        <f>IFERROR(__xludf.DUMMYFUNCTION("""COMPUTED_VALUE"""),"Intellezy - Kevin Mulcahy")</f>
        <v>Intellezy - Kevin Mulcahy</v>
      </c>
      <c r="G155" s="20">
        <f>IFERROR(__xludf.DUMMYFUNCTION("""COMPUTED_VALUE"""),34.0)</f>
        <v>34</v>
      </c>
      <c r="H155" s="20">
        <f>IFERROR(__xludf.DUMMYFUNCTION("""COMPUTED_VALUE"""),22.0)</f>
        <v>22</v>
      </c>
      <c r="I155" s="21" t="str">
        <f>IFERROR(__xludf.DUMMYFUNCTION("""COMPUTED_VALUE"""),"English, German")</f>
        <v>English, German</v>
      </c>
      <c r="J155" s="21" t="str">
        <f>IFERROR(__xludf.DUMMYFUNCTION("""COMPUTED_VALUE"""),"English")</f>
        <v>English</v>
      </c>
      <c r="K155" s="22">
        <f>IFERROR(__xludf.DUMMYFUNCTION("""COMPUTED_VALUE"""),45131.0)</f>
        <v>45131</v>
      </c>
      <c r="L155" s="23" t="str">
        <f>IFERROR(__xludf.DUMMYFUNCTION("""COMPUTED_VALUE"""),"https://masterplan.com/courses/power-teams-gemeinsam-spitzenleistungen-erreichen")</f>
        <v>https://masterplan.com/courses/power-teams-gemeinsam-spitzenleistungen-erreichen</v>
      </c>
    </row>
    <row r="156">
      <c r="A156" s="6" t="str">
        <f>IFERROR(__xludf.DUMMYFUNCTION("""COMPUTED_VALUE"""),"Strategie braucht Kreativität: Strategische Kreativität fördern")</f>
        <v>Strategie braucht Kreativität: Strategische Kreativität fördern</v>
      </c>
      <c r="B156" s="7" t="str">
        <f>IFERROR(__xludf.DUMMYFUNCTION("""COMPUTED_VALUE"""),"Creativity as Strategy: 4 Approaches to Creative Strategizing")</f>
        <v>Creativity as Strategy: 4 Approaches to Creative Strategizing</v>
      </c>
      <c r="C156" s="8" t="str">
        <f>IFERROR(__xludf.DUMMYFUNCTION("""COMPUTED_VALUE"""),"Erfolgreiche Strategien brauchen kreative Lösungen. In diesen Artikeln zeigen wir dir vier Ansätze, mit denen du Kreativität in deine Strategie einbringen kannst und die richtigen Bedingungen für dich und dein Team schaffst, um kreative Problemlösung zu m"&amp;"aximieren!")</f>
        <v>Erfolgreiche Strategien brauchen kreative Lösungen. In diesen Artikeln zeigen wir dir vier Ansätze, mit denen du Kreativität in deine Strategie einbringen kannst und die richtigen Bedingungen für dich und dein Team schaffst, um kreative Problemlösung zu maximieren!</v>
      </c>
      <c r="D156" s="8" t="str">
        <f>IFERROR(__xludf.DUMMYFUNCTION("""COMPUTED_VALUE"""),"Successful strategies need creative solutions. In these articles, you'll learn 4 key approaches for bringing creativity to your strategy, plus how to set the right conditions for you and your team to maximize your creative problem-solving.")</f>
        <v>Successful strategies need creative solutions. In these articles, you'll learn 4 key approaches for bringing creativity to your strategy, plus how to set the right conditions for you and your team to maximize your creative problem-solving.</v>
      </c>
      <c r="E156" s="18" t="str">
        <f>IFERROR(__xludf.DUMMYFUNCTION("""COMPUTED_VALUE"""),"Creativity and Innovation")</f>
        <v>Creativity and Innovation</v>
      </c>
      <c r="F156" s="10" t="str">
        <f>IFERROR(__xludf.DUMMYFUNCTION("""COMPUTED_VALUE"""),"Harvard Business Publishing - ")</f>
        <v>Harvard Business Publishing - </v>
      </c>
      <c r="G156" s="11">
        <f>IFERROR(__xludf.DUMMYFUNCTION("""COMPUTED_VALUE"""),61.0)</f>
        <v>61</v>
      </c>
      <c r="H156" s="11">
        <f>IFERROR(__xludf.DUMMYFUNCTION("""COMPUTED_VALUE"""),17.0)</f>
        <v>17</v>
      </c>
      <c r="I156" s="12" t="str">
        <f>IFERROR(__xludf.DUMMYFUNCTION("""COMPUTED_VALUE"""),"English, German")</f>
        <v>English, German</v>
      </c>
      <c r="J156" s="12" t="str">
        <f>IFERROR(__xludf.DUMMYFUNCTION("""COMPUTED_VALUE"""),"Text only")</f>
        <v>Text only</v>
      </c>
      <c r="K156" s="13">
        <f>IFERROR(__xludf.DUMMYFUNCTION("""COMPUTED_VALUE"""),45128.0)</f>
        <v>45128</v>
      </c>
      <c r="L156" s="14" t="str">
        <f>IFERROR(__xludf.DUMMYFUNCTION("""COMPUTED_VALUE"""),"https://masterplan.com/courses/strategie-braucht-kreativitaet-strategische-kreativitaet-foerdern")</f>
        <v>https://masterplan.com/courses/strategie-braucht-kreativitaet-strategische-kreativitaet-foerdern</v>
      </c>
    </row>
    <row r="157">
      <c r="A157" s="15" t="str">
        <f>IFERROR(__xludf.DUMMYFUNCTION("""COMPUTED_VALUE"""),"Coaching für Höchstleistungen: Mitarbeitererfolge fördern")</f>
        <v>Coaching für Höchstleistungen: Mitarbeitererfolge fördern</v>
      </c>
      <c r="B157" s="16" t="str">
        <f>IFERROR(__xludf.DUMMYFUNCTION("""COMPUTED_VALUE"""),"Coaching for Peak Performance")</f>
        <v>Coaching for Peak Performance</v>
      </c>
      <c r="C157" s="17" t="str">
        <f>IFERROR(__xludf.DUMMYFUNCTION("""COMPUTED_VALUE"""),"Was müssen Manager:innen wissen, um ihren Mitarbeitenden zu Höchstleistungen zu verhelfen? Mit diesem simplen, aber zielgerichteten Rahmen zur Zielbewertung, Fortschrittskontrolle und richtigen Fragestellung sind Spitzenleistungen nur noch 4 Schritte entf"&amp;"ernt!")</f>
        <v>Was müssen Manager:innen wissen, um ihren Mitarbeitenden zu Höchstleistungen zu verhelfen? Mit diesem simplen, aber zielgerichteten Rahmen zur Zielbewertung, Fortschrittskontrolle und richtigen Fragestellung sind Spitzenleistungen nur noch 4 Schritte entfernt!</v>
      </c>
      <c r="D157" s="17" t="str">
        <f>IFERROR(__xludf.DUMMYFUNCTION("""COMPUTED_VALUE"""),"What do managers need to know about helping employees reach their peak performance? With this simple yet focused framework for assessing goals, tracking progress, and asking the right questions, peak performance for both coach and the coachee is just 4 st"&amp;"eps away!")</f>
        <v>What do managers need to know about helping employees reach their peak performance? With this simple yet focused framework for assessing goals, tracking progress, and asking the right questions, peak performance for both coach and the coachee is just 4 steps away!</v>
      </c>
      <c r="E157" s="26" t="str">
        <f>IFERROR(__xludf.DUMMYFUNCTION("""COMPUTED_VALUE"""),"Collaboration and Leadership")</f>
        <v>Collaboration and Leadership</v>
      </c>
      <c r="F157" s="19" t="str">
        <f>IFERROR(__xludf.DUMMYFUNCTION("""COMPUTED_VALUE"""),"Intellezy - Kevin Mulcahy")</f>
        <v>Intellezy - Kevin Mulcahy</v>
      </c>
      <c r="G157" s="20">
        <f>IFERROR(__xludf.DUMMYFUNCTION("""COMPUTED_VALUE"""),41.0)</f>
        <v>41</v>
      </c>
      <c r="H157" s="20">
        <f>IFERROR(__xludf.DUMMYFUNCTION("""COMPUTED_VALUE"""),30.0)</f>
        <v>30</v>
      </c>
      <c r="I157" s="21" t="str">
        <f>IFERROR(__xludf.DUMMYFUNCTION("""COMPUTED_VALUE"""),"English, German")</f>
        <v>English, German</v>
      </c>
      <c r="J157" s="21" t="str">
        <f>IFERROR(__xludf.DUMMYFUNCTION("""COMPUTED_VALUE"""),"English")</f>
        <v>English</v>
      </c>
      <c r="K157" s="22">
        <f>IFERROR(__xludf.DUMMYFUNCTION("""COMPUTED_VALUE"""),45128.0)</f>
        <v>45128</v>
      </c>
      <c r="L157" s="23" t="str">
        <f>IFERROR(__xludf.DUMMYFUNCTION("""COMPUTED_VALUE"""),"https://masterplan.com/courses/coaching-fuer-hoechstleistungen-mitarbeitererfolge-foerdern")</f>
        <v>https://masterplan.com/courses/coaching-fuer-hoechstleistungen-mitarbeitererfolge-foerdern</v>
      </c>
    </row>
    <row r="158">
      <c r="A158" s="6" t="str">
        <f>IFERROR(__xludf.DUMMYFUNCTION("""COMPUTED_VALUE"""),"Null Problemo: Probleme strategisch lösen")</f>
        <v>Null Problemo: Probleme strategisch lösen</v>
      </c>
      <c r="B158" s="7" t="str">
        <f>IFERROR(__xludf.DUMMYFUNCTION("""COMPUTED_VALUE"""),"No Problemo: Strategic Problem-Solving")</f>
        <v>No Problemo: Strategic Problem-Solving</v>
      </c>
      <c r="C158" s="8" t="str">
        <f>IFERROR(__xludf.DUMMYFUNCTION("""COMPUTED_VALUE"""),"Probleme können ein Team von ihrer bestmöglichen Leistung abhalten. Aber wo bei der Lösung ansetzen? Dieser Artikel der Harvard Business Review gibt dir einen konkreten Prozess an die Hand. Sag noch heute Adé zu Problemen!")</f>
        <v>Probleme können ein Team von ihrer bestmöglichen Leistung abhalten. Aber wo bei der Lösung ansetzen? Dieser Artikel der Harvard Business Review gibt dir einen konkreten Prozess an die Hand. Sag noch heute Adé zu Problemen!</v>
      </c>
      <c r="D158" s="8" t="str">
        <f>IFERROR(__xludf.DUMMYFUNCTION("""COMPUTED_VALUE"""),"Problems can keep a team from performing at their best. But how do you go about solving them? This Harvard Business Review article shows you one specific process. Say goodbye to problems today!")</f>
        <v>Problems can keep a team from performing at their best. But how do you go about solving them? This Harvard Business Review article shows you one specific process. Say goodbye to problems today!</v>
      </c>
      <c r="E158" s="29" t="str">
        <f>IFERROR(__xludf.DUMMYFUNCTION("""COMPUTED_VALUE"""),"Thinking and Deciding Clearly")</f>
        <v>Thinking and Deciding Clearly</v>
      </c>
      <c r="F158" s="10" t="str">
        <f>IFERROR(__xludf.DUMMYFUNCTION("""COMPUTED_VALUE"""),"Harvard Business Publishing - ")</f>
        <v>Harvard Business Publishing - </v>
      </c>
      <c r="G158" s="11">
        <f>IFERROR(__xludf.DUMMYFUNCTION("""COMPUTED_VALUE"""),15.0)</f>
        <v>15</v>
      </c>
      <c r="H158" s="11">
        <f>IFERROR(__xludf.DUMMYFUNCTION("""COMPUTED_VALUE"""),5.0)</f>
        <v>5</v>
      </c>
      <c r="I158" s="12" t="str">
        <f>IFERROR(__xludf.DUMMYFUNCTION("""COMPUTED_VALUE"""),"English, German")</f>
        <v>English, German</v>
      </c>
      <c r="J158" s="12" t="str">
        <f>IFERROR(__xludf.DUMMYFUNCTION("""COMPUTED_VALUE"""),"Text only")</f>
        <v>Text only</v>
      </c>
      <c r="K158" s="13">
        <f>IFERROR(__xludf.DUMMYFUNCTION("""COMPUTED_VALUE"""),45126.0)</f>
        <v>45126</v>
      </c>
      <c r="L158" s="14" t="str">
        <f>IFERROR(__xludf.DUMMYFUNCTION("""COMPUTED_VALUE"""),"https://masterplan.com/courses/null-problemo-probleme-strategisch-loesen")</f>
        <v>https://masterplan.com/courses/null-problemo-probleme-strategisch-loesen</v>
      </c>
    </row>
    <row r="159">
      <c r="A159" s="15" t="str">
        <f>IFERROR(__xludf.DUMMYFUNCTION("""COMPUTED_VALUE"""),"Talente entfalten - Die Schlüsselrolle des Managers")</f>
        <v>Talente entfalten - Die Schlüsselrolle des Managers</v>
      </c>
      <c r="B159" s="16" t="str">
        <f>IFERROR(__xludf.DUMMYFUNCTION("""COMPUTED_VALUE"""),"The Manager's Role in Developing Talent")</f>
        <v>The Manager's Role in Developing Talent</v>
      </c>
      <c r="C159" s="17" t="str">
        <f>IFERROR(__xludf.DUMMYFUNCTION("""COMPUTED_VALUE"""),"Manager:innen haben die Aufgabe, Mitarbeitenden zu helfen, ihr Potenzial zu nutzen und dafür zu sorgen, dass das Unternehmen Ergebnisse erzielt. Dieser Kurs hilft dir einen effektiven Plan für die Talententwicklung zu erstellen, damit dein Team Spitzenlei"&amp;"stungen erzielt!")</f>
        <v>Manager:innen haben die Aufgabe, Mitarbeitenden zu helfen, ihr Potenzial zu nutzen und dafür zu sorgen, dass das Unternehmen Ergebnisse erzielt. Dieser Kurs hilft dir einen effektiven Plan für die Talententwicklung zu erstellen, damit dein Team Spitzenleistungen erzielt!</v>
      </c>
      <c r="D159" s="17" t="str">
        <f>IFERROR(__xludf.DUMMYFUNCTION("""COMPUTED_VALUE"""),"The role of a manager is to enable their employees to reach their potential, while ensuring the organization achieves meaningful results.This course and workbook helps you create an effective plan for Talent Development, so you and your employees can achi"&amp;"eve excellence!")</f>
        <v>The role of a manager is to enable their employees to reach their potential, while ensuring the organization achieves meaningful results.This course and workbook helps you create an effective plan for Talent Development, so you and your employees can achieve excellence!</v>
      </c>
      <c r="E159" s="26" t="str">
        <f>IFERROR(__xludf.DUMMYFUNCTION("""COMPUTED_VALUE"""),"Collaboration and Leadership")</f>
        <v>Collaboration and Leadership</v>
      </c>
      <c r="F159" s="19" t="str">
        <f>IFERROR(__xludf.DUMMYFUNCTION("""COMPUTED_VALUE"""),"Intellezy - Brian Powers")</f>
        <v>Intellezy - Brian Powers</v>
      </c>
      <c r="G159" s="20">
        <f>IFERROR(__xludf.DUMMYFUNCTION("""COMPUTED_VALUE"""),43.0)</f>
        <v>43</v>
      </c>
      <c r="H159" s="20">
        <f>IFERROR(__xludf.DUMMYFUNCTION("""COMPUTED_VALUE"""),14.0)</f>
        <v>14</v>
      </c>
      <c r="I159" s="21" t="str">
        <f>IFERROR(__xludf.DUMMYFUNCTION("""COMPUTED_VALUE"""),"English, German")</f>
        <v>English, German</v>
      </c>
      <c r="J159" s="21" t="str">
        <f>IFERROR(__xludf.DUMMYFUNCTION("""COMPUTED_VALUE"""),"English")</f>
        <v>English</v>
      </c>
      <c r="K159" s="22">
        <f>IFERROR(__xludf.DUMMYFUNCTION("""COMPUTED_VALUE"""),45119.0)</f>
        <v>45119</v>
      </c>
      <c r="L159" s="23" t="str">
        <f>IFERROR(__xludf.DUMMYFUNCTION("""COMPUTED_VALUE"""),"https://masterplan.com/courses/talente-entfalten-die-schluesselrolle-des-managers")</f>
        <v>https://masterplan.com/courses/talente-entfalten-die-schluesselrolle-des-managers</v>
      </c>
    </row>
    <row r="160">
      <c r="A160" s="6" t="str">
        <f>IFERROR(__xludf.DUMMYFUNCTION("""COMPUTED_VALUE"""),"Die Pomodoro-Technik")</f>
        <v>Die Pomodoro-Technik</v>
      </c>
      <c r="B160" s="7" t="str">
        <f>IFERROR(__xludf.DUMMYFUNCTION("""COMPUTED_VALUE"""),"The Pomodoro Technique")</f>
        <v>The Pomodoro Technique</v>
      </c>
      <c r="C160" s="8" t="str">
        <f>IFERROR(__xludf.DUMMYFUNCTION("""COMPUTED_VALUE"""),"Wer seine Produktivität steigern will, muss Pausen machen. Im Idealfall alle 25 Minuten. Schafft man dann überhaupt irgendwas? Genau darin liegt das Geheimnis der Pomodoro-Technik - die wohl bekanntesten Zeitmanagement-Methode! Die Uhr tickt, worauf warte"&amp;"st du?")</f>
        <v>Wer seine Produktivität steigern will, muss Pausen machen. Im Idealfall alle 25 Minuten. Schafft man dann überhaupt irgendwas? Genau darin liegt das Geheimnis der Pomodoro-Technik - die wohl bekanntesten Zeitmanagement-Methode! Die Uhr tickt, worauf wartest du?</v>
      </c>
      <c r="D160" s="8" t="str">
        <f>IFERROR(__xludf.DUMMYFUNCTION("""COMPUTED_VALUE"""),"If you want to increase your productivity, you gotta take breaks. Ideally every 25 minutes. But will you get anything done like that? That's the secret of the Pomodoro Technique - probably the best-known time-management method! Clock's ticking, what are y"&amp;"ou waiting for?")</f>
        <v>If you want to increase your productivity, you gotta take breaks. Ideally every 25 minutes. But will you get anything done like that? That's the secret of the Pomodoro Technique - probably the best-known time-management method! Clock's ticking, what are you waiting for?</v>
      </c>
      <c r="E160" s="24" t="str">
        <f>IFERROR(__xludf.DUMMYFUNCTION("""COMPUTED_VALUE"""),"Emotional Intelligence")</f>
        <v>Emotional Intelligence</v>
      </c>
      <c r="F160" s="10" t="str">
        <f>IFERROR(__xludf.DUMMYFUNCTION("""COMPUTED_VALUE"""),"Masterplan - Laura Graichen")</f>
        <v>Masterplan - Laura Graichen</v>
      </c>
      <c r="G160" s="11">
        <f>IFERROR(__xludf.DUMMYFUNCTION("""COMPUTED_VALUE"""),4.0)</f>
        <v>4</v>
      </c>
      <c r="H160" s="11">
        <f>IFERROR(__xludf.DUMMYFUNCTION("""COMPUTED_VALUE"""),3.0)</f>
        <v>3</v>
      </c>
      <c r="I160" s="12" t="str">
        <f>IFERROR(__xludf.DUMMYFUNCTION("""COMPUTED_VALUE"""),"English, German")</f>
        <v>English, German</v>
      </c>
      <c r="J160" s="12" t="str">
        <f>IFERROR(__xludf.DUMMYFUNCTION("""COMPUTED_VALUE"""),"German")</f>
        <v>German</v>
      </c>
      <c r="K160" s="13">
        <f>IFERROR(__xludf.DUMMYFUNCTION("""COMPUTED_VALUE"""),45119.0)</f>
        <v>45119</v>
      </c>
      <c r="L160" s="14" t="str">
        <f>IFERROR(__xludf.DUMMYFUNCTION("""COMPUTED_VALUE"""),"https://masterplan.com/courses/mp-shorts-die-pomodoro-technik")</f>
        <v>https://masterplan.com/courses/mp-shorts-die-pomodoro-technik</v>
      </c>
    </row>
    <row r="161">
      <c r="A161" s="15" t="str">
        <f>IFERROR(__xludf.DUMMYFUNCTION("""COMPUTED_VALUE"""),"Der Zeigarnik-Effekt")</f>
        <v>Der Zeigarnik-Effekt</v>
      </c>
      <c r="B161" s="16" t="str">
        <f>IFERROR(__xludf.DUMMYFUNCTION("""COMPUTED_VALUE"""),"The Zeigarnik Effect")</f>
        <v>The Zeigarnik Effect</v>
      </c>
      <c r="C161" s="17" t="str">
        <f>IFERROR(__xludf.DUMMYFUNCTION("""COMPUTED_VALUE"""),"Immer wenn's besonders spannend wird, bricht die Folge der Lieblingsserie ab. Die Filmbranche macht sich hier den sogenanten Cliffhanger-Effekt zu Nutze – ein Phänomen, das du im Alltag gezielt einsetzen kannst, um...  Ach, schau doch einfach selbst!")</f>
        <v>Immer wenn's besonders spannend wird, bricht die Folge der Lieblingsserie ab. Die Filmbranche macht sich hier den sogenanten Cliffhanger-Effekt zu Nutze – ein Phänomen, das du im Alltag gezielt einsetzen kannst, um...  Ach, schau doch einfach selbst!</v>
      </c>
      <c r="D161" s="17" t="str">
        <f>IFERROR(__xludf.DUMMYFUNCTION("""COMPUTED_VALUE"""),"Every time it gets really exciting, the episode of your favorite series suddenly ends. The film industry is making use of the so-called cliffhanger effect here - a phenomenon that you can use in everyday life to...  Well, find out for yourself!")</f>
        <v>Every time it gets really exciting, the episode of your favorite series suddenly ends. The film industry is making use of the so-called cliffhanger effect here - a phenomenon that you can use in everyday life to...  Well, find out for yourself!</v>
      </c>
      <c r="E161" s="24" t="str">
        <f>IFERROR(__xludf.DUMMYFUNCTION("""COMPUTED_VALUE"""),"Emotional Intelligence")</f>
        <v>Emotional Intelligence</v>
      </c>
      <c r="F161" s="19" t="str">
        <f>IFERROR(__xludf.DUMMYFUNCTION("""COMPUTED_VALUE"""),"Masterplan - Laura Graichen")</f>
        <v>Masterplan - Laura Graichen</v>
      </c>
      <c r="G161" s="20">
        <f>IFERROR(__xludf.DUMMYFUNCTION("""COMPUTED_VALUE"""),4.0)</f>
        <v>4</v>
      </c>
      <c r="H161" s="20">
        <f>IFERROR(__xludf.DUMMYFUNCTION("""COMPUTED_VALUE"""),3.0)</f>
        <v>3</v>
      </c>
      <c r="I161" s="21" t="str">
        <f>IFERROR(__xludf.DUMMYFUNCTION("""COMPUTED_VALUE"""),"English, German")</f>
        <v>English, German</v>
      </c>
      <c r="J161" s="21" t="str">
        <f>IFERROR(__xludf.DUMMYFUNCTION("""COMPUTED_VALUE"""),"German")</f>
        <v>German</v>
      </c>
      <c r="K161" s="22">
        <f>IFERROR(__xludf.DUMMYFUNCTION("""COMPUTED_VALUE"""),45119.0)</f>
        <v>45119</v>
      </c>
      <c r="L161" s="23" t="str">
        <f>IFERROR(__xludf.DUMMYFUNCTION("""COMPUTED_VALUE"""),"https://masterplan.com/courses/mp-shorts-der-zeigarnik-effekt")</f>
        <v>https://masterplan.com/courses/mp-shorts-der-zeigarnik-effekt</v>
      </c>
    </row>
    <row r="162">
      <c r="A162" s="6" t="str">
        <f>IFERROR(__xludf.DUMMYFUNCTION("""COMPUTED_VALUE"""),"Die ""Getting Things Done""-Methode")</f>
        <v>Die "Getting Things Done"-Methode</v>
      </c>
      <c r="B162" s="7" t="str">
        <f>IFERROR(__xludf.DUMMYFUNCTION("""COMPUTED_VALUE"""),"Getting Things Done by David Allen")</f>
        <v>Getting Things Done by David Allen</v>
      </c>
      <c r="C162" s="8" t="str">
        <f>IFERROR(__xludf.DUMMYFUNCTION("""COMPUTED_VALUE"""),"“Ich brauche mir nichts aufzuschreiben, mein Gehirn merkt sich alles!” Kommt dir das bekannt vor? Warum dieses Denken Gift für deine Selbstorganisation ist und dich ordentlich Produktivität einbußen lässt, erfährst du in diesem Short!")</f>
        <v>“Ich brauche mir nichts aufzuschreiben, mein Gehirn merkt sich alles!” Kommt dir das bekannt vor? Warum dieses Denken Gift für deine Selbstorganisation ist und dich ordentlich Produktivität einbußen lässt, erfährst du in diesem Short!</v>
      </c>
      <c r="D162" s="8" t="str">
        <f>IFERROR(__xludf.DUMMYFUNCTION("""COMPUTED_VALUE"""),"""I don't need to write anything down, my brain remembers everything!"" Sound familiar? Why this kind of thinking is poison for your self-organization and why it causes you to lose a lot of productivity, you will find out in this Short!")</f>
        <v>"I don't need to write anything down, my brain remembers everything!" Sound familiar? Why this kind of thinking is poison for your self-organization and why it causes you to lose a lot of productivity, you will find out in this Short!</v>
      </c>
      <c r="E162" s="24" t="str">
        <f>IFERROR(__xludf.DUMMYFUNCTION("""COMPUTED_VALUE"""),"Emotional Intelligence")</f>
        <v>Emotional Intelligence</v>
      </c>
      <c r="F162" s="10" t="str">
        <f>IFERROR(__xludf.DUMMYFUNCTION("""COMPUTED_VALUE"""),"Masterplan - Laura Graichen")</f>
        <v>Masterplan - Laura Graichen</v>
      </c>
      <c r="G162" s="11">
        <f>IFERROR(__xludf.DUMMYFUNCTION("""COMPUTED_VALUE"""),4.0)</f>
        <v>4</v>
      </c>
      <c r="H162" s="11">
        <f>IFERROR(__xludf.DUMMYFUNCTION("""COMPUTED_VALUE"""),3.0)</f>
        <v>3</v>
      </c>
      <c r="I162" s="12" t="str">
        <f>IFERROR(__xludf.DUMMYFUNCTION("""COMPUTED_VALUE"""),"English, German")</f>
        <v>English, German</v>
      </c>
      <c r="J162" s="12" t="str">
        <f>IFERROR(__xludf.DUMMYFUNCTION("""COMPUTED_VALUE"""),"German")</f>
        <v>German</v>
      </c>
      <c r="K162" s="13">
        <f>IFERROR(__xludf.DUMMYFUNCTION("""COMPUTED_VALUE"""),45119.0)</f>
        <v>45119</v>
      </c>
      <c r="L162" s="14" t="str">
        <f>IFERROR(__xludf.DUMMYFUNCTION("""COMPUTED_VALUE"""),"https://masterplan.com/courses/mp-shorts-die-getting-things-done-methode")</f>
        <v>https://masterplan.com/courses/mp-shorts-die-getting-things-done-methode</v>
      </c>
    </row>
    <row r="163">
      <c r="A163" s="15" t="str">
        <f>IFERROR(__xludf.DUMMYFUNCTION("""COMPUTED_VALUE"""),"Wie du Mitarbeitende effizient weiterentwickelst")</f>
        <v>Wie du Mitarbeitende effizient weiterentwickelst</v>
      </c>
      <c r="B163" s="16" t="str">
        <f>IFERROR(__xludf.DUMMYFUNCTION("""COMPUTED_VALUE"""),"Managing Employee Performance")</f>
        <v>Managing Employee Performance</v>
      </c>
      <c r="C163" s="17" t="str">
        <f>IFERROR(__xludf.DUMMYFUNCTION("""COMPUTED_VALUE"""),"Gutes Leistungsmanagement soll dafür sorgen, dass jeder seine Ziele erreicht. Wie können gute Manager:innen dies fördern, ermöglichen und beeinflussen? In Teil I dieser Serie lernst du einen einfachen dreistufigen Rahmen kennen, der dir zeigt, wie du das "&amp;"erreichst! ")</f>
        <v>Gutes Leistungsmanagement soll dafür sorgen, dass jeder seine Ziele erreicht. Wie können gute Manager:innen dies fördern, ermöglichen und beeinflussen? In Teil I dieser Serie lernst du einen einfachen dreistufigen Rahmen kennen, der dir zeigt, wie du das erreichst! </v>
      </c>
      <c r="D163" s="17" t="str">
        <f>IFERROR(__xludf.DUMMYFUNCTION("""COMPUTED_VALUE"""),"The ultimate goal of Performance Management is for everyone to achieve their goals. How can good managers encourage, enable, and influence that? In Part I of this series, you'll learn a simple three-step framework for improving your employees' performance"&amp;".")</f>
        <v>The ultimate goal of Performance Management is for everyone to achieve their goals. How can good managers encourage, enable, and influence that? In Part I of this series, you'll learn a simple three-step framework for improving your employees' performance.</v>
      </c>
      <c r="E163" s="26" t="str">
        <f>IFERROR(__xludf.DUMMYFUNCTION("""COMPUTED_VALUE"""),"Collaboration and Leadership")</f>
        <v>Collaboration and Leadership</v>
      </c>
      <c r="F163" s="19" t="str">
        <f>IFERROR(__xludf.DUMMYFUNCTION("""COMPUTED_VALUE"""),"Intellezy - Brian Powers")</f>
        <v>Intellezy - Brian Powers</v>
      </c>
      <c r="G163" s="20">
        <f>IFERROR(__xludf.DUMMYFUNCTION("""COMPUTED_VALUE"""),30.0)</f>
        <v>30</v>
      </c>
      <c r="H163" s="20">
        <f>IFERROR(__xludf.DUMMYFUNCTION("""COMPUTED_VALUE"""),11.0)</f>
        <v>11</v>
      </c>
      <c r="I163" s="21" t="str">
        <f>IFERROR(__xludf.DUMMYFUNCTION("""COMPUTED_VALUE"""),"English, German")</f>
        <v>English, German</v>
      </c>
      <c r="J163" s="21" t="str">
        <f>IFERROR(__xludf.DUMMYFUNCTION("""COMPUTED_VALUE"""),"English")</f>
        <v>English</v>
      </c>
      <c r="K163" s="22">
        <f>IFERROR(__xludf.DUMMYFUNCTION("""COMPUTED_VALUE"""),45119.0)</f>
        <v>45119</v>
      </c>
      <c r="L163" s="23" t="str">
        <f>IFERROR(__xludf.DUMMYFUNCTION("""COMPUTED_VALUE"""),"https://masterplan.com/courses/wie-du-mitarbeitende-effizient-weiterentwickelst")</f>
        <v>https://masterplan.com/courses/wie-du-mitarbeitende-effizient-weiterentwickelst</v>
      </c>
    </row>
    <row r="164">
      <c r="A164" s="6" t="str">
        <f>IFERROR(__xludf.DUMMYFUNCTION("""COMPUTED_VALUE"""),"Verbessere dein kritisches Denken in Sekundenschnelle!")</f>
        <v>Verbessere dein kritisches Denken in Sekundenschnelle!</v>
      </c>
      <c r="B164" s="7" t="str">
        <f>IFERROR(__xludf.DUMMYFUNCTION("""COMPUTED_VALUE"""),"Improve Your Critical Thinking– Quickly!")</f>
        <v>Improve Your Critical Thinking– Quickly!</v>
      </c>
      <c r="C164" s="8" t="str">
        <f>IFERROR(__xludf.DUMMYFUNCTION("""COMPUTED_VALUE"""),"Du glaubst, du kannst kritisch denken? Kannst du denn auch dein eigenes Denken kritisch hinterfragen? Hier lernst du vier konkreten Strategien zur Verbesserung deines kritischen Denkens kennen und wie einfach du sie bei täglichen Entscheidungen anwenden k"&amp;"annst.")</f>
        <v>Du glaubst, du kannst kritisch denken? Kannst du denn auch dein eigenes Denken kritisch hinterfragen? Hier lernst du vier konkreten Strategien zur Verbesserung deines kritischen Denkens kennen und wie einfach du sie bei täglichen Entscheidungen anwenden kannst.</v>
      </c>
      <c r="D164" s="8" t="str">
        <f>IFERROR(__xludf.DUMMYFUNCTION("""COMPUTED_VALUE"""),"You might think you know about critical thinking, but can you be an effective critic of your own thinking? In this course, you'll read about four concrete strategies for improving your critical thinking, plus how to use them quickly in your daily decision"&amp;"-making. ")</f>
        <v>You might think you know about critical thinking, but can you be an effective critic of your own thinking? In this course, you'll read about four concrete strategies for improving your critical thinking, plus how to use them quickly in your daily decision-making. </v>
      </c>
      <c r="E164" s="29" t="str">
        <f>IFERROR(__xludf.DUMMYFUNCTION("""COMPUTED_VALUE"""),"Thinking and Deciding Clearly")</f>
        <v>Thinking and Deciding Clearly</v>
      </c>
      <c r="F164" s="10" t="str">
        <f>IFERROR(__xludf.DUMMYFUNCTION("""COMPUTED_VALUE"""),"Harvard Business Publishing - ")</f>
        <v>Harvard Business Publishing - </v>
      </c>
      <c r="G164" s="11">
        <f>IFERROR(__xludf.DUMMYFUNCTION("""COMPUTED_VALUE"""),34.0)</f>
        <v>34</v>
      </c>
      <c r="H164" s="11">
        <f>IFERROR(__xludf.DUMMYFUNCTION("""COMPUTED_VALUE"""),7.0)</f>
        <v>7</v>
      </c>
      <c r="I164" s="12" t="str">
        <f>IFERROR(__xludf.DUMMYFUNCTION("""COMPUTED_VALUE"""),"English, German")</f>
        <v>English, German</v>
      </c>
      <c r="J164" s="12" t="str">
        <f>IFERROR(__xludf.DUMMYFUNCTION("""COMPUTED_VALUE"""),"Text only")</f>
        <v>Text only</v>
      </c>
      <c r="K164" s="13">
        <f>IFERROR(__xludf.DUMMYFUNCTION("""COMPUTED_VALUE"""),45117.0)</f>
        <v>45117</v>
      </c>
      <c r="L164" s="14" t="str">
        <f>IFERROR(__xludf.DUMMYFUNCTION("""COMPUTED_VALUE"""),"https://masterplan.com/courses/verbessere-dein-kritisches-denken-in-sekundenschnelle")</f>
        <v>https://masterplan.com/courses/verbessere-dein-kritisches-denken-in-sekundenschnelle</v>
      </c>
    </row>
    <row r="165">
      <c r="A165" s="15" t="str">
        <f>IFERROR(__xludf.DUMMYFUNCTION("""COMPUTED_VALUE"""),"Wie du deine Marketing-KI maximieren kannst")</f>
        <v>Wie du deine Marketing-KI maximieren kannst</v>
      </c>
      <c r="B165" s="16" t="str">
        <f>IFERROR(__xludf.DUMMYFUNCTION("""COMPUTED_VALUE"""),"How to Maximize Your Marketing AI")</f>
        <v>How to Maximize Your Marketing AI</v>
      </c>
      <c r="C165" s="17" t="str">
        <f>IFERROR(__xludf.DUMMYFUNCTION("""COMPUTED_VALUE"""),"Obwohl immer mehr Unternehmen in KI investieren, sehen nur 40% Ergebnisse. Was machen sie falsch? In diesem Artikel der Harvard Business School wird erläutert, wie du die häufigsten Fehler beim KI-Marketing vermeiden kannst, damit du ihre Wirkung maximier"&amp;"en kannst!")</f>
        <v>Obwohl immer mehr Unternehmen in KI investieren, sehen nur 40% Ergebnisse. Was machen sie falsch? In diesem Artikel der Harvard Business School wird erläutert, wie du die häufigsten Fehler beim KI-Marketing vermeiden kannst, damit du ihre Wirkung maximieren kannst!</v>
      </c>
      <c r="D165" s="17" t="str">
        <f>IFERROR(__xludf.DUMMYFUNCTION("""COMPUTED_VALUE"""),"Despite more and more companies investing in AI, only 40% of them have seen that investment pay off. What are they doing wrong? This article from Harvard Business School outlines how to avoid the common mistakes made in Marketing AI so you can maximize it"&amp;"s impact!")</f>
        <v>Despite more and more companies investing in AI, only 40% of them have seen that investment pay off. What are they doing wrong? This article from Harvard Business School outlines how to avoid the common mistakes made in Marketing AI so you can maximize its impact!</v>
      </c>
      <c r="E165" s="9" t="str">
        <f>IFERROR(__xludf.DUMMYFUNCTION("""COMPUTED_VALUE"""),"Global Citizenship")</f>
        <v>Global Citizenship</v>
      </c>
      <c r="F165" s="19" t="str">
        <f>IFERROR(__xludf.DUMMYFUNCTION("""COMPUTED_VALUE"""),"Harvard Business Publishing - ")</f>
        <v>Harvard Business Publishing - </v>
      </c>
      <c r="G165" s="20">
        <f>IFERROR(__xludf.DUMMYFUNCTION("""COMPUTED_VALUE"""),28.0)</f>
        <v>28</v>
      </c>
      <c r="H165" s="20">
        <f>IFERROR(__xludf.DUMMYFUNCTION("""COMPUTED_VALUE"""),4.0)</f>
        <v>4</v>
      </c>
      <c r="I165" s="21" t="str">
        <f>IFERROR(__xludf.DUMMYFUNCTION("""COMPUTED_VALUE"""),"English, German")</f>
        <v>English, German</v>
      </c>
      <c r="J165" s="21" t="str">
        <f>IFERROR(__xludf.DUMMYFUNCTION("""COMPUTED_VALUE"""),"Text only")</f>
        <v>Text only</v>
      </c>
      <c r="K165" s="22">
        <f>IFERROR(__xludf.DUMMYFUNCTION("""COMPUTED_VALUE"""),45117.0)</f>
        <v>45117</v>
      </c>
      <c r="L165" s="23" t="str">
        <f>IFERROR(__xludf.DUMMYFUNCTION("""COMPUTED_VALUE"""),"https://masterplan.com/courses/wie-du-deine-marketing-ki-maximieren-kannst")</f>
        <v>https://masterplan.com/courses/wie-du-deine-marketing-ki-maximieren-kannst</v>
      </c>
    </row>
    <row r="166">
      <c r="A166" s="6" t="str">
        <f>IFERROR(__xludf.DUMMYFUNCTION("""COMPUTED_VALUE"""),"Das Statistik 1x1")</f>
        <v>Das Statistik 1x1</v>
      </c>
      <c r="B166" s="7" t="str">
        <f>IFERROR(__xludf.DUMMYFUNCTION("""COMPUTED_VALUE"""),"Statistics: Crash Course")</f>
        <v>Statistics: Crash Course</v>
      </c>
      <c r="C166" s="8" t="str">
        <f>IFERROR(__xludf.DUMMYFUNCTION("""COMPUTED_VALUE"""),"Statistiken können uns bei Entscheidungen helfen, doch gesunder Menschenverstand und Skepsis sind unverzichtbar. Frische dein Mathe-Gedächtnis auf und lerne wie Statistiken in Geschäfts- und Alltagsleben eingesetzt werden, sodass dir niemand mehr etwas vo"&amp;"rmachen kann!")</f>
        <v>Statistiken können uns bei Entscheidungen helfen, doch gesunder Menschenverstand und Skepsis sind unverzichtbar. Frische dein Mathe-Gedächtnis auf und lerne wie Statistiken in Geschäfts- und Alltagsleben eingesetzt werden, sodass dir niemand mehr etwas vormachen kann!</v>
      </c>
      <c r="D166" s="8" t="str">
        <f>IFERROR(__xludf.DUMMYFUNCTION("""COMPUTED_VALUE"""),"Statistics can help us make the best decisions, but we've all got to use our common sense– and a little skepticism. Refresh your mathematical memory and learn how statistics are used in business and in life in this crash course, so you won't get fooled ag"&amp;"ain!")</f>
        <v>Statistics can help us make the best decisions, but we've all got to use our common sense– and a little skepticism. Refresh your mathematical memory and learn how statistics are used in business and in life in this crash course, so you won't get fooled again!</v>
      </c>
      <c r="E166" s="25" t="str">
        <f>IFERROR(__xludf.DUMMYFUNCTION("""COMPUTED_VALUE"""),"Digital Literacy")</f>
        <v>Digital Literacy</v>
      </c>
      <c r="F166" s="10" t="str">
        <f>IFERROR(__xludf.DUMMYFUNCTION("""COMPUTED_VALUE"""),"Complexly - Crash Course")</f>
        <v>Complexly - Crash Course</v>
      </c>
      <c r="G166" s="11">
        <f>IFERROR(__xludf.DUMMYFUNCTION("""COMPUTED_VALUE"""),166.0)</f>
        <v>166</v>
      </c>
      <c r="H166" s="11">
        <f>IFERROR(__xludf.DUMMYFUNCTION("""COMPUTED_VALUE"""),32.0)</f>
        <v>32</v>
      </c>
      <c r="I166" s="12" t="str">
        <f>IFERROR(__xludf.DUMMYFUNCTION("""COMPUTED_VALUE"""),"English, German")</f>
        <v>English, German</v>
      </c>
      <c r="J166" s="12" t="str">
        <f>IFERROR(__xludf.DUMMYFUNCTION("""COMPUTED_VALUE"""),"English")</f>
        <v>English</v>
      </c>
      <c r="K166" s="13">
        <f>IFERROR(__xludf.DUMMYFUNCTION("""COMPUTED_VALUE"""),45105.0)</f>
        <v>45105</v>
      </c>
      <c r="L166" s="14" t="str">
        <f>IFERROR(__xludf.DUMMYFUNCTION("""COMPUTED_VALUE"""),"https://masterplan.com/courses/das-statistik-1x1")</f>
        <v>https://masterplan.com/courses/das-statistik-1x1</v>
      </c>
    </row>
    <row r="167">
      <c r="A167" s="15" t="str">
        <f>IFERROR(__xludf.DUMMYFUNCTION("""COMPUTED_VALUE"""),"Alles Kopfsache: Konzentration steigern &amp; Fokus finden")</f>
        <v>Alles Kopfsache: Konzentration steigern &amp; Fokus finden</v>
      </c>
      <c r="B167" s="16" t="str">
        <f>IFERROR(__xludf.DUMMYFUNCTION("""COMPUTED_VALUE"""),"Why You Can't Focus - And How to Fix It")</f>
        <v>Why You Can't Focus - And How to Fix It</v>
      </c>
      <c r="C167" s="17" t="str">
        <f>IFERROR(__xludf.DUMMYFUNCTION("""COMPUTED_VALUE"""),"Wann konntest du dich zuletzt längere Zeit auf eine Aufgabe konzentrieren? Du erinnerst dich nicht? Kein Wunder, die Aufmerksamkeitsspanne in unserer Gesellschaft schrumpft stetig. Hier erfährst du, was du dagegen tun kannst!")</f>
        <v>Wann konntest du dich zuletzt längere Zeit auf eine Aufgabe konzentrieren? Du erinnerst dich nicht? Kein Wunder, die Aufmerksamkeitsspanne in unserer Gesellschaft schrumpft stetig. Hier erfährst du, was du dagegen tun kannst!</v>
      </c>
      <c r="D167" s="17" t="str">
        <f>IFERROR(__xludf.DUMMYFUNCTION("""COMPUTED_VALUE"""),"When was the last time you were able to sit down and intensively dedicate yourself to a task over a longer period of time? Can't remember? No wonder, since our society's attention span for a single subject is getting shorter and shorter. Here's what you c"&amp;"an do about it!")</f>
        <v>When was the last time you were able to sit down and intensively dedicate yourself to a task over a longer period of time? Can't remember? No wonder, since our society's attention span for a single subject is getting shorter and shorter. Here's what you can do about it!</v>
      </c>
      <c r="E167" s="24" t="str">
        <f>IFERROR(__xludf.DUMMYFUNCTION("""COMPUTED_VALUE"""),"Emotional Intelligence")</f>
        <v>Emotional Intelligence</v>
      </c>
      <c r="F167" s="19" t="str">
        <f>IFERROR(__xludf.DUMMYFUNCTION("""COMPUTED_VALUE"""),"Complexly - Crash Course")</f>
        <v>Complexly - Crash Course</v>
      </c>
      <c r="G167" s="20">
        <f>IFERROR(__xludf.DUMMYFUNCTION("""COMPUTED_VALUE"""),14.0)</f>
        <v>14</v>
      </c>
      <c r="H167" s="20">
        <f>IFERROR(__xludf.DUMMYFUNCTION("""COMPUTED_VALUE"""),4.0)</f>
        <v>4</v>
      </c>
      <c r="I167" s="21" t="str">
        <f>IFERROR(__xludf.DUMMYFUNCTION("""COMPUTED_VALUE"""),"English, German")</f>
        <v>English, German</v>
      </c>
      <c r="J167" s="21" t="str">
        <f>IFERROR(__xludf.DUMMYFUNCTION("""COMPUTED_VALUE"""),"English")</f>
        <v>English</v>
      </c>
      <c r="K167" s="22">
        <f>IFERROR(__xludf.DUMMYFUNCTION("""COMPUTED_VALUE"""),45092.0)</f>
        <v>45092</v>
      </c>
      <c r="L167" s="23" t="str">
        <f>IFERROR(__xludf.DUMMYFUNCTION("""COMPUTED_VALUE"""),"https://masterplan.com/courses/alles-kopfsache-konzentration-steigern-und-fokus-finden")</f>
        <v>https://masterplan.com/courses/alles-kopfsache-konzentration-steigern-und-fokus-finden</v>
      </c>
    </row>
    <row r="168">
      <c r="A168" s="6" t="str">
        <f>IFERROR(__xludf.DUMMYFUNCTION("""COMPUTED_VALUE"""),"Kreativität managen und fördern")</f>
        <v>Kreativität managen und fördern</v>
      </c>
      <c r="B168" s="7" t="str">
        <f>IFERROR(__xludf.DUMMYFUNCTION("""COMPUTED_VALUE"""),"Managing And Encouraging Creativity")</f>
        <v>Managing And Encouraging Creativity</v>
      </c>
      <c r="C168" s="8" t="str">
        <f>IFERROR(__xludf.DUMMYFUNCTION("""COMPUTED_VALUE"""),"Was wollen wir? Kreative Ideen! Wann wollen wir sie? Jetzt sofort! Aber das funktioniert nur, wenn Kreativität in Teams gemanaget und gefördert wird. Dieses Kapitel eines Ratgebers der Harvard Business Review gibt dir dafür das perfekte Rüstzeug an die Ha"&amp;"nd!")</f>
        <v>Was wollen wir? Kreative Ideen! Wann wollen wir sie? Jetzt sofort! Aber das funktioniert nur, wenn Kreativität in Teams gemanaget und gefördert wird. Dieses Kapitel eines Ratgebers der Harvard Business Review gibt dir dafür das perfekte Rüstzeug an die Hand!</v>
      </c>
      <c r="D168" s="8" t="str">
        <f>IFERROR(__xludf.DUMMYFUNCTION("""COMPUTED_VALUE"""),"What do we want? Creative ideas! When do we want them? Right away! But this only works if creativity is being managed and promoted in teams. This chapter of a Harvard Business Review guidebook hands you the perfect tools to do just that!")</f>
        <v>What do we want? Creative ideas! When do we want them? Right away! But this only works if creativity is being managed and promoted in teams. This chapter of a Harvard Business Review guidebook hands you the perfect tools to do just that!</v>
      </c>
      <c r="E168" s="18" t="str">
        <f>IFERROR(__xludf.DUMMYFUNCTION("""COMPUTED_VALUE"""),"Creativity and Innovation")</f>
        <v>Creativity and Innovation</v>
      </c>
      <c r="F168" s="10" t="str">
        <f>IFERROR(__xludf.DUMMYFUNCTION("""COMPUTED_VALUE"""),"Harvard Business Publishing - ")</f>
        <v>Harvard Business Publishing - </v>
      </c>
      <c r="G168" s="11">
        <f>IFERROR(__xludf.DUMMYFUNCTION("""COMPUTED_VALUE"""),45.0)</f>
        <v>45</v>
      </c>
      <c r="H168" s="11">
        <f>IFERROR(__xludf.DUMMYFUNCTION("""COMPUTED_VALUE"""),14.0)</f>
        <v>14</v>
      </c>
      <c r="I168" s="12" t="str">
        <f>IFERROR(__xludf.DUMMYFUNCTION("""COMPUTED_VALUE"""),"English, German")</f>
        <v>English, German</v>
      </c>
      <c r="J168" s="12" t="str">
        <f>IFERROR(__xludf.DUMMYFUNCTION("""COMPUTED_VALUE"""),"Text only")</f>
        <v>Text only</v>
      </c>
      <c r="K168" s="13">
        <f>IFERROR(__xludf.DUMMYFUNCTION("""COMPUTED_VALUE"""),45092.0)</f>
        <v>45092</v>
      </c>
      <c r="L168" s="14" t="str">
        <f>IFERROR(__xludf.DUMMYFUNCTION("""COMPUTED_VALUE"""),"https://masterplan.com/courses/kreativitaet-managen-und-foerdern")</f>
        <v>https://masterplan.com/courses/kreativitaet-managen-und-foerdern</v>
      </c>
    </row>
    <row r="169">
      <c r="A169" s="15" t="str">
        <f>IFERROR(__xludf.DUMMYFUNCTION("""COMPUTED_VALUE"""),"Culture Map: So meisterst du das kulturelle Minenfeld")</f>
        <v>Culture Map: So meisterst du das kulturelle Minenfeld</v>
      </c>
      <c r="B169" s="16" t="str">
        <f>IFERROR(__xludf.DUMMYFUNCTION("""COMPUTED_VALUE"""),"The Culture Map: Navigating the Cultural Minefield")</f>
        <v>The Culture Map: Navigating the Cultural Minefield</v>
      </c>
      <c r="C169" s="17" t="str">
        <f>IFERROR(__xludf.DUMMYFUNCTION("""COMPUTED_VALUE"""),"Um sich in einer globalen Geschäftswelt zurechtzufinden, braucht man die richtige Karte. Mittels ihres Bestsellers führt Erin Meyer dich durch die ""Culture Map"" und ihre 4 Regeln, um zu verstehen, wie Menschen in verschiedenen Kulturen denken, führen un"&amp;"d arbeiten.")</f>
        <v>Um sich in einer globalen Geschäftswelt zurechtzufinden, braucht man die richtige Karte. Mittels ihres Bestsellers führt Erin Meyer dich durch die "Culture Map" und ihre 4 Regeln, um zu verstehen, wie Menschen in verschiedenen Kulturen denken, führen und arbeiten.</v>
      </c>
      <c r="D169" s="17" t="str">
        <f>IFERROR(__xludf.DUMMYFUNCTION("""COMPUTED_VALUE"""),"When navigating doing business in a global world, it helps to have the right map. Based on her bestselling book, Erin Meyer walks you through ""The Culture Map"" and her 4 rules for understanding how people think, lead, and get things done across cultures"&amp;".")</f>
        <v>When navigating doing business in a global world, it helps to have the right map. Based on her bestselling book, Erin Meyer walks you through "The Culture Map" and her 4 rules for understanding how people think, lead, and get things done across cultures.</v>
      </c>
      <c r="E169" s="9" t="str">
        <f>IFERROR(__xludf.DUMMYFUNCTION("""COMPUTED_VALUE"""),"Global Citizenship")</f>
        <v>Global Citizenship</v>
      </c>
      <c r="F169" s="19" t="str">
        <f>IFERROR(__xludf.DUMMYFUNCTION("""COMPUTED_VALUE"""),"Harvard Business Publishing - ")</f>
        <v>Harvard Business Publishing - </v>
      </c>
      <c r="G169" s="20">
        <f>IFERROR(__xludf.DUMMYFUNCTION("""COMPUTED_VALUE"""),11.0)</f>
        <v>11</v>
      </c>
      <c r="H169" s="20">
        <f>IFERROR(__xludf.DUMMYFUNCTION("""COMPUTED_VALUE"""),6.0)</f>
        <v>6</v>
      </c>
      <c r="I169" s="21" t="str">
        <f>IFERROR(__xludf.DUMMYFUNCTION("""COMPUTED_VALUE"""),"English, German")</f>
        <v>English, German</v>
      </c>
      <c r="J169" s="21" t="str">
        <f>IFERROR(__xludf.DUMMYFUNCTION("""COMPUTED_VALUE"""),"Text only")</f>
        <v>Text only</v>
      </c>
      <c r="K169" s="22">
        <f>IFERROR(__xludf.DUMMYFUNCTION("""COMPUTED_VALUE"""),45091.0)</f>
        <v>45091</v>
      </c>
      <c r="L169" s="23" t="str">
        <f>IFERROR(__xludf.DUMMYFUNCTION("""COMPUTED_VALUE"""),"https://masterplan.com/courses/culture-map-so-meisterst-du-das-kulturelle-minenfeld")</f>
        <v>https://masterplan.com/courses/culture-map-so-meisterst-du-das-kulturelle-minenfeld</v>
      </c>
    </row>
    <row r="170">
      <c r="A170" s="6" t="str">
        <f>IFERROR(__xludf.DUMMYFUNCTION("""COMPUTED_VALUE"""),"Überzeugend reden mit der S.U.C.C.E.S.-Formel")</f>
        <v>Überzeugend reden mit der S.U.C.C.E.S.-Formel</v>
      </c>
      <c r="B170" s="7" t="str">
        <f>IFERROR(__xludf.DUMMYFUNCTION("""COMPUTED_VALUE"""),"S.U.C.C.E.S. – How to Speak with Confidence")</f>
        <v>S.U.C.C.E.S. – How to Speak with Confidence</v>
      </c>
      <c r="C170" s="8" t="str">
        <f>IFERROR(__xludf.DUMMYFUNCTION("""COMPUTED_VALUE"""),"Bist du bereit, nach S.U.C.C.E.S. zu streben? Wenn du eine Rede hältst, ist das Was genauso wichtig wie das Wie. Hier erfährst du, was du beim Sprechen in der Öffentlichkeit tun und lassen solltest und wie du deine Argumente klar und prägnant vortragen ka"&amp;"nnst!")</f>
        <v>Bist du bereit, nach S.U.C.C.E.S. zu streben? Wenn du eine Rede hältst, ist das Was genauso wichtig wie das Wie. Hier erfährst du, was du beim Sprechen in der Öffentlichkeit tun und lassen solltest und wie du deine Argumente klar und prägnant vortragen kannst!</v>
      </c>
      <c r="D170" s="8" t="str">
        <f>IFERROR(__xludf.DUMMYFUNCTION("""COMPUTED_VALUE"""),"Are you ready to aim for S.U.C.C.E.S.? When you're speaking, what you say is just as important as how you say it. Let's learn about the do's and don'ts of public speaking and how you can deliver your points clearly and concisely! ")</f>
        <v>Are you ready to aim for S.U.C.C.E.S.? When you're speaking, what you say is just as important as how you say it. Let's learn about the do's and don'ts of public speaking and how you can deliver your points clearly and concisely! </v>
      </c>
      <c r="E170" s="28" t="str">
        <f>IFERROR(__xludf.DUMMYFUNCTION("""COMPUTED_VALUE"""),"Communication")</f>
        <v>Communication</v>
      </c>
      <c r="F170" s="10" t="str">
        <f>IFERROR(__xludf.DUMMYFUNCTION("""COMPUTED_VALUE"""),"Complexly - Crash Course")</f>
        <v>Complexly - Crash Course</v>
      </c>
      <c r="G170" s="11">
        <f>IFERROR(__xludf.DUMMYFUNCTION("""COMPUTED_VALUE"""),10.0)</f>
        <v>10</v>
      </c>
      <c r="H170" s="11">
        <f>IFERROR(__xludf.DUMMYFUNCTION("""COMPUTED_VALUE"""),3.0)</f>
        <v>3</v>
      </c>
      <c r="I170" s="12" t="str">
        <f>IFERROR(__xludf.DUMMYFUNCTION("""COMPUTED_VALUE"""),"English, German")</f>
        <v>English, German</v>
      </c>
      <c r="J170" s="12" t="str">
        <f>IFERROR(__xludf.DUMMYFUNCTION("""COMPUTED_VALUE"""),"English")</f>
        <v>English</v>
      </c>
      <c r="K170" s="13">
        <f>IFERROR(__xludf.DUMMYFUNCTION("""COMPUTED_VALUE"""),45089.0)</f>
        <v>45089</v>
      </c>
      <c r="L170" s="14" t="str">
        <f>IFERROR(__xludf.DUMMYFUNCTION("""COMPUTED_VALUE"""),"https://masterplan.com/courses/ueberzeugend-reden-mit-der-succes-formel")</f>
        <v>https://masterplan.com/courses/ueberzeugend-reden-mit-der-succes-formel</v>
      </c>
    </row>
    <row r="171">
      <c r="A171" s="15" t="str">
        <f>IFERROR(__xludf.DUMMYFUNCTION("""COMPUTED_VALUE"""),"Biohacking für's Gehirn: Schneller &amp; besser Lernen")</f>
        <v>Biohacking für's Gehirn: Schneller &amp; besser Lernen</v>
      </c>
      <c r="B171" s="16" t="str">
        <f>IFERROR(__xludf.DUMMYFUNCTION("""COMPUTED_VALUE"""),"Train Your Brain: How Your Brain Learns Best")</f>
        <v>Train Your Brain: How Your Brain Learns Best</v>
      </c>
      <c r="C171" s="17" t="str">
        <f>IFERROR(__xludf.DUMMYFUNCTION("""COMPUTED_VALUE"""),"Wusstest du, dass ein Petabyte an Daten in unserem Gehirn gespeichert werden kann? Das entspricht etwa 200.000 hochauflösenden Hollywood-Filmen. Willst du das voll ausnutzen? Wenn du verstehst, wie dein Gedächtnis funktioniert, kannst du dein Lernen optim"&amp;"ieren!")</f>
        <v>Wusstest du, dass ein Petabyte an Daten in unserem Gehirn gespeichert werden kann? Das entspricht etwa 200.000 hochauflösenden Hollywood-Filmen. Willst du das voll ausnutzen? Wenn du verstehst, wie dein Gedächtnis funktioniert, kannst du dein Lernen optimieren!</v>
      </c>
      <c r="D171" s="17" t="str">
        <f>IFERROR(__xludf.DUMMYFUNCTION("""COMPUTED_VALUE"""),"Did you know: one petabyte of data is said to be able to be stored in our brain. This is equivalent to roughly 200,000 high-resolution Hollywood movies. Want to take full advantge of it? Understanding how your memory works will help you to optimize the wa"&amp;"y you learn!")</f>
        <v>Did you know: one petabyte of data is said to be able to be stored in our brain. This is equivalent to roughly 200,000 high-resolution Hollywood movies. Want to take full advantge of it? Understanding how your memory works will help you to optimize the way you learn!</v>
      </c>
      <c r="E171" s="24" t="str">
        <f>IFERROR(__xludf.DUMMYFUNCTION("""COMPUTED_VALUE"""),"Emotional Intelligence")</f>
        <v>Emotional Intelligence</v>
      </c>
      <c r="F171" s="19" t="str">
        <f>IFERROR(__xludf.DUMMYFUNCTION("""COMPUTED_VALUE"""),"Complexly - Crash Course")</f>
        <v>Complexly - Crash Course</v>
      </c>
      <c r="G171" s="20">
        <f>IFERROR(__xludf.DUMMYFUNCTION("""COMPUTED_VALUE"""),15.0)</f>
        <v>15</v>
      </c>
      <c r="H171" s="20">
        <f>IFERROR(__xludf.DUMMYFUNCTION("""COMPUTED_VALUE"""),4.0)</f>
        <v>4</v>
      </c>
      <c r="I171" s="21" t="str">
        <f>IFERROR(__xludf.DUMMYFUNCTION("""COMPUTED_VALUE"""),"English, German")</f>
        <v>English, German</v>
      </c>
      <c r="J171" s="21" t="str">
        <f>IFERROR(__xludf.DUMMYFUNCTION("""COMPUTED_VALUE"""),"English")</f>
        <v>English</v>
      </c>
      <c r="K171" s="22">
        <f>IFERROR(__xludf.DUMMYFUNCTION("""COMPUTED_VALUE"""),45084.0)</f>
        <v>45084</v>
      </c>
      <c r="L171" s="23" t="str">
        <f>IFERROR(__xludf.DUMMYFUNCTION("""COMPUTED_VALUE"""),"https://masterplan.com/courses/biohacking-fuers-gehirn-schneller-und-besser-lernen")</f>
        <v>https://masterplan.com/courses/biohacking-fuers-gehirn-schneller-und-besser-lernen</v>
      </c>
    </row>
    <row r="172">
      <c r="A172" s="6" t="str">
        <f>IFERROR(__xludf.DUMMYFUNCTION("""COMPUTED_VALUE"""),"Körper &amp; Psyche: Warum Emotionen unsere Gesundheit beeinflussen")</f>
        <v>Körper &amp; Psyche: Warum Emotionen unsere Gesundheit beeinflussen</v>
      </c>
      <c r="B172" s="7" t="str">
        <f>IFERROR(__xludf.DUMMYFUNCTION("""COMPUTED_VALUE"""),"Mind-Body Connection: How Your Emotions Affect Your Health")</f>
        <v>Mind-Body Connection: How Your Emotions Affect Your Health</v>
      </c>
      <c r="C172" s="8" t="str">
        <f>IFERROR(__xludf.DUMMYFUNCTION("""COMPUTED_VALUE"""),"Glücklich und zufrieden! Der Umgang mit Angst, Wut und anderen schwierigen Emotionen kann unsere Gesundheit negativ beeinflussen. Hier erfährst du, wie Emotionen in unserem Körper wirken, wie wir mit Mimiken kommunizieren und was Stress mit unseren Nerven"&amp;" macht!")</f>
        <v>Glücklich und zufrieden! Der Umgang mit Angst, Wut und anderen schwierigen Emotionen kann unsere Gesundheit negativ beeinflussen. Hier erfährst du, wie Emotionen in unserem Körper wirken, wie wir mit Mimiken kommunizieren und was Stress mit unseren Nerven macht!</v>
      </c>
      <c r="D172" s="8" t="str">
        <f>IFERROR(__xludf.DUMMYFUNCTION("""COMPUTED_VALUE"""),"Happy-Go-Lucky! Fear, anger, and other more difficult emotions and how we handle can affect our health in a negative way. Let's learn more about how emotions work in our body, how we use facial expressions to communicate, and what stress does to our nervo"&amp;"us system!")</f>
        <v>Happy-Go-Lucky! Fear, anger, and other more difficult emotions and how we handle can affect our health in a negative way. Let's learn more about how emotions work in our body, how we use facial expressions to communicate, and what stress does to our nervous system!</v>
      </c>
      <c r="E172" s="24" t="str">
        <f>IFERROR(__xludf.DUMMYFUNCTION("""COMPUTED_VALUE"""),"Emotional Intelligence")</f>
        <v>Emotional Intelligence</v>
      </c>
      <c r="F172" s="10" t="str">
        <f>IFERROR(__xludf.DUMMYFUNCTION("""COMPUTED_VALUE"""),"Complexly - Crash Course")</f>
        <v>Complexly - Crash Course</v>
      </c>
      <c r="G172" s="11">
        <f>IFERROR(__xludf.DUMMYFUNCTION("""COMPUTED_VALUE"""),17.0)</f>
        <v>17</v>
      </c>
      <c r="H172" s="11">
        <f>IFERROR(__xludf.DUMMYFUNCTION("""COMPUTED_VALUE"""),4.0)</f>
        <v>4</v>
      </c>
      <c r="I172" s="12" t="str">
        <f>IFERROR(__xludf.DUMMYFUNCTION("""COMPUTED_VALUE"""),"English, German")</f>
        <v>English, German</v>
      </c>
      <c r="J172" s="12" t="str">
        <f>IFERROR(__xludf.DUMMYFUNCTION("""COMPUTED_VALUE"""),"English")</f>
        <v>English</v>
      </c>
      <c r="K172" s="13">
        <f>IFERROR(__xludf.DUMMYFUNCTION("""COMPUTED_VALUE"""),45084.0)</f>
        <v>45084</v>
      </c>
      <c r="L172" s="14" t="str">
        <f>IFERROR(__xludf.DUMMYFUNCTION("""COMPUTED_VALUE"""),"https://masterplan.com/courses/koerper-und-psyche-warum-emotionen-unsere-gesundheit-beeinflussen")</f>
        <v>https://masterplan.com/courses/koerper-und-psyche-warum-emotionen-unsere-gesundheit-beeinflussen</v>
      </c>
    </row>
    <row r="173">
      <c r="A173" s="15" t="str">
        <f>IFERROR(__xludf.DUMMYFUNCTION("""COMPUTED_VALUE"""),"Dual Coding ")</f>
        <v>Dual Coding </v>
      </c>
      <c r="B173" s="16" t="str">
        <f>IFERROR(__xludf.DUMMYFUNCTION("""COMPUTED_VALUE"""),"Dual Coding ")</f>
        <v>Dual Coding </v>
      </c>
      <c r="C173" s="17" t="str">
        <f>IFERROR(__xludf.DUMMYFUNCTION("""COMPUTED_VALUE"""),"Wer an McDonald's denkt hat sofort das Bild der zwei goldenen Bögen vor Augen. Auf der Autobahn lassen sie dich wissen: Saftige Burger sind nicht weit! Hier hat also ziemlich erfolgreiches Dual Coding stattgefunden. Lecker, aber hilft dir außerdem, effekt"&amp;"iver zu lernen!")</f>
        <v>Wer an McDonald's denkt hat sofort das Bild der zwei goldenen Bögen vor Augen. Auf der Autobahn lassen sie dich wissen: Saftige Burger sind nicht weit! Hier hat also ziemlich erfolgreiches Dual Coding stattgefunden. Lecker, aber hilft dir außerdem, effektiver zu lernen!</v>
      </c>
      <c r="D173" s="17" t="str">
        <f>IFERROR(__xludf.DUMMYFUNCTION("""COMPUTED_VALUE"""),"When you think of McDonald's, the image of the two golden arches immediately comes to mind. On the highway they let you know: juicy burgers are close! Some pretty successful dual coding took place here. Delicious, but also helps you learn more effectively"&amp;"!")</f>
        <v>When you think of McDonald's, the image of the two golden arches immediately comes to mind. On the highway they let you know: juicy burgers are close! Some pretty successful dual coding took place here. Delicious, but also helps you learn more effectively!</v>
      </c>
      <c r="E173" s="28" t="str">
        <f>IFERROR(__xludf.DUMMYFUNCTION("""COMPUTED_VALUE"""),"Communication")</f>
        <v>Communication</v>
      </c>
      <c r="F173" s="19" t="str">
        <f>IFERROR(__xludf.DUMMYFUNCTION("""COMPUTED_VALUE"""),"Masterplan - Nadine Wagenaar")</f>
        <v>Masterplan - Nadine Wagenaar</v>
      </c>
      <c r="G173" s="20">
        <f>IFERROR(__xludf.DUMMYFUNCTION("""COMPUTED_VALUE"""),4.0)</f>
        <v>4</v>
      </c>
      <c r="H173" s="20">
        <f>IFERROR(__xludf.DUMMYFUNCTION("""COMPUTED_VALUE"""),3.0)</f>
        <v>3</v>
      </c>
      <c r="I173" s="21" t="str">
        <f>IFERROR(__xludf.DUMMYFUNCTION("""COMPUTED_VALUE"""),"English, German")</f>
        <v>English, German</v>
      </c>
      <c r="J173" s="21" t="str">
        <f>IFERROR(__xludf.DUMMYFUNCTION("""COMPUTED_VALUE"""),"German")</f>
        <v>German</v>
      </c>
      <c r="K173" s="22">
        <f>IFERROR(__xludf.DUMMYFUNCTION("""COMPUTED_VALUE"""),45084.0)</f>
        <v>45084</v>
      </c>
      <c r="L173" s="23" t="str">
        <f>IFERROR(__xludf.DUMMYFUNCTION("""COMPUTED_VALUE"""),"https://masterplan.com/courses/mp-shorts-dual-coding")</f>
        <v>https://masterplan.com/courses/mp-shorts-dual-coding</v>
      </c>
    </row>
    <row r="174">
      <c r="A174" s="6" t="str">
        <f>IFERROR(__xludf.DUMMYFUNCTION("""COMPUTED_VALUE"""),"Der Pygmalion Effekt ")</f>
        <v>Der Pygmalion Effekt </v>
      </c>
      <c r="B174" s="7" t="str">
        <f>IFERROR(__xludf.DUMMYFUNCTION("""COMPUTED_VALUE"""),"The Pygmalion Effect ")</f>
        <v>The Pygmalion Effect </v>
      </c>
      <c r="C174" s="8" t="str">
        <f>IFERROR(__xludf.DUMMYFUNCTION("""COMPUTED_VALUE"""),"Pygmalion meißelte sich seine Traumfrau selbst und Venus erweckte sie schließlich zum Leben. Was das mit positiver Entwicklung zu tun hat, erfährst du in diesem Short! ")</f>
        <v>Pygmalion meißelte sich seine Traumfrau selbst und Venus erweckte sie schließlich zum Leben. Was das mit positiver Entwicklung zu tun hat, erfährst du in diesem Short! </v>
      </c>
      <c r="D174" s="8" t="str">
        <f>IFERROR(__xludf.DUMMYFUNCTION("""COMPUTED_VALUE"""),"Pygmalion chiseled his own dream woman and Venus brought her to life. Find out what this has to do with positive development in this Short!")</f>
        <v>Pygmalion chiseled his own dream woman and Venus brought her to life. Find out what this has to do with positive development in this Short!</v>
      </c>
      <c r="E174" s="26" t="str">
        <f>IFERROR(__xludf.DUMMYFUNCTION("""COMPUTED_VALUE"""),"Collaboration and Leadership")</f>
        <v>Collaboration and Leadership</v>
      </c>
      <c r="F174" s="10" t="str">
        <f>IFERROR(__xludf.DUMMYFUNCTION("""COMPUTED_VALUE"""),"Masterplan - Nadine Wagenaar")</f>
        <v>Masterplan - Nadine Wagenaar</v>
      </c>
      <c r="G174" s="11">
        <f>IFERROR(__xludf.DUMMYFUNCTION("""COMPUTED_VALUE"""),3.0)</f>
        <v>3</v>
      </c>
      <c r="H174" s="11">
        <f>IFERROR(__xludf.DUMMYFUNCTION("""COMPUTED_VALUE"""),3.0)</f>
        <v>3</v>
      </c>
      <c r="I174" s="12" t="str">
        <f>IFERROR(__xludf.DUMMYFUNCTION("""COMPUTED_VALUE"""),"English, German")</f>
        <v>English, German</v>
      </c>
      <c r="J174" s="12" t="str">
        <f>IFERROR(__xludf.DUMMYFUNCTION("""COMPUTED_VALUE"""),"German")</f>
        <v>German</v>
      </c>
      <c r="K174" s="13">
        <f>IFERROR(__xludf.DUMMYFUNCTION("""COMPUTED_VALUE"""),45084.0)</f>
        <v>45084</v>
      </c>
      <c r="L174" s="14" t="str">
        <f>IFERROR(__xludf.DUMMYFUNCTION("""COMPUTED_VALUE"""),"https://masterplan.com/courses/mp-shorts-der-pygmalion-effekt")</f>
        <v>https://masterplan.com/courses/mp-shorts-der-pygmalion-effekt</v>
      </c>
    </row>
    <row r="175">
      <c r="A175" s="15" t="str">
        <f>IFERROR(__xludf.DUMMYFUNCTION("""COMPUTED_VALUE"""),"Lernstile")</f>
        <v>Lernstile</v>
      </c>
      <c r="B175" s="16" t="str">
        <f>IFERROR(__xludf.DUMMYFUNCTION("""COMPUTED_VALUE"""),"Learning Styles")</f>
        <v>Learning Styles</v>
      </c>
      <c r="C175" s="17" t="str">
        <f>IFERROR(__xludf.DUMMYFUNCTION("""COMPUTED_VALUE"""),"Visuell, Auditiv, Kinästhetisch... ? Jeder Mensch hat einen bestimmten Lerntyp? Blödsinn! In diesem Short erklären wir dir, warum die Lerntypen-Theorie ein Mythos ist und nach welchem Prinzip du stattdessen lernen solltest. ")</f>
        <v>Visuell, Auditiv, Kinästhetisch... ? Jeder Mensch hat einen bestimmten Lerntyp? Blödsinn! In diesem Short erklären wir dir, warum die Lerntypen-Theorie ein Mythos ist und nach welchem Prinzip du stattdessen lernen solltest. </v>
      </c>
      <c r="D175" s="17" t="str">
        <f>IFERROR(__xludf.DUMMYFUNCTION("""COMPUTED_VALUE"""),"Visual, auditory, kinaesthetic... ? Everyone has a certain learning style? Bullshit! In this short we explain why the learning style theory is a myth and what principle you should use to learn instead.")</f>
        <v>Visual, auditory, kinaesthetic... ? Everyone has a certain learning style? Bullshit! In this short we explain why the learning style theory is a myth and what principle you should use to learn instead.</v>
      </c>
      <c r="E175" s="24" t="str">
        <f>IFERROR(__xludf.DUMMYFUNCTION("""COMPUTED_VALUE"""),"Emotional Intelligence")</f>
        <v>Emotional Intelligence</v>
      </c>
      <c r="F175" s="19" t="str">
        <f>IFERROR(__xludf.DUMMYFUNCTION("""COMPUTED_VALUE"""),"Masterplan - Kolja Wohlleben")</f>
        <v>Masterplan - Kolja Wohlleben</v>
      </c>
      <c r="G175" s="20">
        <f>IFERROR(__xludf.DUMMYFUNCTION("""COMPUTED_VALUE"""),4.0)</f>
        <v>4</v>
      </c>
      <c r="H175" s="20">
        <f>IFERROR(__xludf.DUMMYFUNCTION("""COMPUTED_VALUE"""),3.0)</f>
        <v>3</v>
      </c>
      <c r="I175" s="21" t="str">
        <f>IFERROR(__xludf.DUMMYFUNCTION("""COMPUTED_VALUE"""),"English, German")</f>
        <v>English, German</v>
      </c>
      <c r="J175" s="21" t="str">
        <f>IFERROR(__xludf.DUMMYFUNCTION("""COMPUTED_VALUE"""),"German")</f>
        <v>German</v>
      </c>
      <c r="K175" s="22">
        <f>IFERROR(__xludf.DUMMYFUNCTION("""COMPUTED_VALUE"""),45084.0)</f>
        <v>45084</v>
      </c>
      <c r="L175" s="23" t="str">
        <f>IFERROR(__xludf.DUMMYFUNCTION("""COMPUTED_VALUE"""),"https://masterplan.com/courses/mp-shorts-learning-styles")</f>
        <v>https://masterplan.com/courses/mp-shorts-learning-styles</v>
      </c>
    </row>
    <row r="176">
      <c r="A176" s="6" t="str">
        <f>IFERROR(__xludf.DUMMYFUNCTION("""COMPUTED_VALUE"""),"Mission Change Management: Die häufigsten Fehler")</f>
        <v>Mission Change Management: Die häufigsten Fehler</v>
      </c>
      <c r="B176" s="7" t="str">
        <f>IFERROR(__xludf.DUMMYFUNCTION("""COMPUTED_VALUE"""),"Pick the Right Quest for Successful Change Management")</f>
        <v>Pick the Right Quest for Successful Change Management</v>
      </c>
      <c r="C176" s="8" t="str">
        <f>IFERROR(__xludf.DUMMYFUNCTION("""COMPUTED_VALUE"""),"Fällt es dir schwer, Wandel in deiner Organisation dauerhaft umzusetzen? Vielleicht musst du den Auftrag besser verstehen! In diesen Artikeln der Harvard Business School erfährst du mehr über die häufigsten Fehler beim Change Management und wie du sie ver"&amp;"meiden kannst.")</f>
        <v>Fällt es dir schwer, Wandel in deiner Organisation dauerhaft umzusetzen? Vielleicht musst du den Auftrag besser verstehen! In diesen Artikeln der Harvard Business School erfährst du mehr über die häufigsten Fehler beim Change Management und wie du sie vermeiden kannst.</v>
      </c>
      <c r="D176" s="8" t="str">
        <f>IFERROR(__xludf.DUMMYFUNCTION("""COMPUTED_VALUE"""),"Struggling to implement change in your organization in a way that sticks? Maybe you need to understand your mission! In these articles from Harvard Business School, you'll learn the common mistakes involved in change management, plus 4 tips for avoiding t"&amp;"hem.")</f>
        <v>Struggling to implement change in your organization in a way that sticks? Maybe you need to understand your mission! In these articles from Harvard Business School, you'll learn the common mistakes involved in change management, plus 4 tips for avoiding them.</v>
      </c>
      <c r="E176" s="26" t="str">
        <f>IFERROR(__xludf.DUMMYFUNCTION("""COMPUTED_VALUE"""),"Collaboration and Leadership")</f>
        <v>Collaboration and Leadership</v>
      </c>
      <c r="F176" s="10" t="str">
        <f>IFERROR(__xludf.DUMMYFUNCTION("""COMPUTED_VALUE"""),"Harvard Business Publishing - ")</f>
        <v>Harvard Business Publishing - </v>
      </c>
      <c r="G176" s="11">
        <f>IFERROR(__xludf.DUMMYFUNCTION("""COMPUTED_VALUE"""),42.0)</f>
        <v>42</v>
      </c>
      <c r="H176" s="11">
        <f>IFERROR(__xludf.DUMMYFUNCTION("""COMPUTED_VALUE"""),8.0)</f>
        <v>8</v>
      </c>
      <c r="I176" s="12" t="str">
        <f>IFERROR(__xludf.DUMMYFUNCTION("""COMPUTED_VALUE"""),"English, German")</f>
        <v>English, German</v>
      </c>
      <c r="J176" s="12" t="str">
        <f>IFERROR(__xludf.DUMMYFUNCTION("""COMPUTED_VALUE"""),"Text only")</f>
        <v>Text only</v>
      </c>
      <c r="K176" s="13">
        <f>IFERROR(__xludf.DUMMYFUNCTION("""COMPUTED_VALUE"""),45083.0)</f>
        <v>45083</v>
      </c>
      <c r="L176" s="14" t="str">
        <f>IFERROR(__xludf.DUMMYFUNCTION("""COMPUTED_VALUE"""),"https://masterplan.com/courses/mission-change-management-die-haeufigsten-fehler")</f>
        <v>https://masterplan.com/courses/mission-change-management-die-haeufigsten-fehler</v>
      </c>
    </row>
    <row r="177">
      <c r="A177" s="15" t="str">
        <f>IFERROR(__xludf.DUMMYFUNCTION("""COMPUTED_VALUE"""),"Vertrauen - Wie wir es gewinnen und behalten")</f>
        <v>Vertrauen - Wie wir es gewinnen und behalten</v>
      </c>
      <c r="B177" s="16" t="str">
        <f>IFERROR(__xludf.DUMMYFUNCTION("""COMPUTED_VALUE"""),"Why You Need Trust to Do Business")</f>
        <v>Why You Need Trust to Do Business</v>
      </c>
      <c r="C177" s="17" t="str">
        <f>IFERROR(__xludf.DUMMYFUNCTION("""COMPUTED_VALUE"""),"Wie baut man Vertrauen auf? Das erfordert viel Mühe und tägliche Arbeit. Doch wenn du Kompetenz, Integrität und die richtigen Intentionen an den Tag legst, ist der erste Schritt bereits getan! Entdecke, wie du diese Elemente nutzt, um im Berufsleben Vertr"&amp;"auen zu stärken!")</f>
        <v>Wie baut man Vertrauen auf? Das erfordert viel Mühe und tägliche Arbeit. Doch wenn du Kompetenz, Integrität und die richtigen Intentionen an den Tag legst, ist der erste Schritt bereits getan! Entdecke, wie du diese Elemente nutzt, um im Berufsleben Vertrauen zu stärken!</v>
      </c>
      <c r="D177" s="17" t="str">
        <f>IFERROR(__xludf.DUMMYFUNCTION("""COMPUTED_VALUE"""),"How can you make people trust you? Building trust is a daily commitment and requires actual work. Nothing in life is free, but genuinely showing competence, intent, and integrity are! Find out how to use these three basic elements to build up trust in the"&amp;" workplace!")</f>
        <v>How can you make people trust you? Building trust is a daily commitment and requires actual work. Nothing in life is free, but genuinely showing competence, intent, and integrity are! Find out how to use these three basic elements to build up trust in the workplace!</v>
      </c>
      <c r="E177" s="24" t="str">
        <f>IFERROR(__xludf.DUMMYFUNCTION("""COMPUTED_VALUE"""),"Emotional Intelligence")</f>
        <v>Emotional Intelligence</v>
      </c>
      <c r="F177" s="19" t="str">
        <f>IFERROR(__xludf.DUMMYFUNCTION("""COMPUTED_VALUE"""),"Complexly - Crash Course")</f>
        <v>Complexly - Crash Course</v>
      </c>
      <c r="G177" s="20">
        <f>IFERROR(__xludf.DUMMYFUNCTION("""COMPUTED_VALUE"""),11.0)</f>
        <v>11</v>
      </c>
      <c r="H177" s="20">
        <f>IFERROR(__xludf.DUMMYFUNCTION("""COMPUTED_VALUE"""),3.0)</f>
        <v>3</v>
      </c>
      <c r="I177" s="21" t="str">
        <f>IFERROR(__xludf.DUMMYFUNCTION("""COMPUTED_VALUE"""),"English, German")</f>
        <v>English, German</v>
      </c>
      <c r="J177" s="21" t="str">
        <f>IFERROR(__xludf.DUMMYFUNCTION("""COMPUTED_VALUE"""),"English")</f>
        <v>English</v>
      </c>
      <c r="K177" s="22">
        <f>IFERROR(__xludf.DUMMYFUNCTION("""COMPUTED_VALUE"""),45079.0)</f>
        <v>45079</v>
      </c>
      <c r="L177" s="23" t="str">
        <f>IFERROR(__xludf.DUMMYFUNCTION("""COMPUTED_VALUE"""),"https://masterplan.com/courses/vertrauen-wie-wir-es-gewinnen-und-behalten")</f>
        <v>https://masterplan.com/courses/vertrauen-wie-wir-es-gewinnen-und-behalten</v>
      </c>
    </row>
    <row r="178">
      <c r="A178" s="6" t="str">
        <f>IFERROR(__xludf.DUMMYFUNCTION("""COMPUTED_VALUE"""),"Datenkompetenz: So startet dein Team durch– und du gleich mit!")</f>
        <v>Datenkompetenz: So startet dein Team durch– und du gleich mit!</v>
      </c>
      <c r="B178" s="7" t="str">
        <f>IFERROR(__xludf.DUMMYFUNCTION("""COMPUTED_VALUE"""),"Boost Your Company's Data Literacy– And Your Own")</f>
        <v>Boost Your Company's Data Literacy– And Your Own</v>
      </c>
      <c r="C178" s="8" t="str">
        <f>IFERROR(__xludf.DUMMYFUNCTION("""COMPUTED_VALUE"""),"Wie gut geht dein Unternehmen mit Daten um? In diesen Artikeln der Harvard Business School erfährst du, wie du Datenkompetenz auf allen Ebenen bewertest und verbesserst, damit dein Unternehmen lernt, die besten datengestützten Entscheidungen zu treffen.")</f>
        <v>Wie gut geht dein Unternehmen mit Daten um? In diesen Artikeln der Harvard Business School erfährst du, wie du Datenkompetenz auf allen Ebenen bewertest und verbesserst, damit dein Unternehmen lernt, die besten datengestützten Entscheidungen zu treffen.</v>
      </c>
      <c r="D178" s="8" t="str">
        <f>IFERROR(__xludf.DUMMYFUNCTION("""COMPUTED_VALUE"""),"How data literate is your company? What about your team? What about you? These articles from Harvard Business School teach you how to assess– and increase– data literacy at every level, so your organization can learn to make the best data-driven decisions"&amp;".")</f>
        <v>How data literate is your company? What about your team? What about you? These articles from Harvard Business School teach you how to assess– and increase– data literacy at every level, so your organization can learn to make the best data-driven decisions.</v>
      </c>
      <c r="E178" s="25" t="str">
        <f>IFERROR(__xludf.DUMMYFUNCTION("""COMPUTED_VALUE"""),"Digital Literacy")</f>
        <v>Digital Literacy</v>
      </c>
      <c r="F178" s="10" t="str">
        <f>IFERROR(__xludf.DUMMYFUNCTION("""COMPUTED_VALUE"""),"Harvard Business Publishing - ")</f>
        <v>Harvard Business Publishing - </v>
      </c>
      <c r="G178" s="11">
        <f>IFERROR(__xludf.DUMMYFUNCTION("""COMPUTED_VALUE"""),41.0)</f>
        <v>41</v>
      </c>
      <c r="H178" s="11">
        <f>IFERROR(__xludf.DUMMYFUNCTION("""COMPUTED_VALUE"""),10.0)</f>
        <v>10</v>
      </c>
      <c r="I178" s="12" t="str">
        <f>IFERROR(__xludf.DUMMYFUNCTION("""COMPUTED_VALUE"""),"English, German")</f>
        <v>English, German</v>
      </c>
      <c r="J178" s="12" t="str">
        <f>IFERROR(__xludf.DUMMYFUNCTION("""COMPUTED_VALUE"""),"German")</f>
        <v>German</v>
      </c>
      <c r="K178" s="13">
        <f>IFERROR(__xludf.DUMMYFUNCTION("""COMPUTED_VALUE"""),45079.0)</f>
        <v>45079</v>
      </c>
      <c r="L178" s="14" t="str">
        <f>IFERROR(__xludf.DUMMYFUNCTION("""COMPUTED_VALUE"""),"https://masterplan.com/courses/datenkompetenz-so-startet-dein-team-durch-und-du-gleich-mit")</f>
        <v>https://masterplan.com/courses/datenkompetenz-so-startet-dein-team-durch-und-du-gleich-mit</v>
      </c>
    </row>
    <row r="179">
      <c r="A179" s="15" t="str">
        <f>IFERROR(__xludf.DUMMYFUNCTION("""COMPUTED_VALUE"""),"3 Tipps: Das kannst du selbst gegen Burnout tun")</f>
        <v>3 Tipps: Das kannst du selbst gegen Burnout tun</v>
      </c>
      <c r="B179" s="16" t="str">
        <f>IFERROR(__xludf.DUMMYFUNCTION("""COMPUTED_VALUE"""),"3 Tips to Prevent Burnout")</f>
        <v>3 Tips to Prevent Burnout</v>
      </c>
      <c r="C179" s="17" t="str">
        <f>IFERROR(__xludf.DUMMYFUNCTION("""COMPUTED_VALUE"""),"Was haben Menschen und Pflanzen gemeinsam? Wenn wir nicht all die Dinge bekommen, die wir benötigen, wie Nährstoffe, Wasser und eine ungiftige Umgebung, leiden wir! Lass uns an den Wurzeln ansetzen, um gesunde Gewohnheiten zu entwickeln und Burnout zu ver"&amp;"hindern.")</f>
        <v>Was haben Menschen und Pflanzen gemeinsam? Wenn wir nicht all die Dinge bekommen, die wir benötigen, wie Nährstoffe, Wasser und eine ungiftige Umgebung, leiden wir! Lass uns an den Wurzeln ansetzen, um gesunde Gewohnheiten zu entwickeln und Burnout zu verhindern.</v>
      </c>
      <c r="D179" s="17" t="str">
        <f>IFERROR(__xludf.DUMMYFUNCTION("""COMPUTED_VALUE"""),"What do humans and plants have in common? Unless we get all the basic things that we need, like nutrients, water, and a non-toxic environment, we suffer! Let's get back to the roots to develop healthy habits that will help you prevent burnout.")</f>
        <v>What do humans and plants have in common? Unless we get all the basic things that we need, like nutrients, water, and a non-toxic environment, we suffer! Let's get back to the roots to develop healthy habits that will help you prevent burnout.</v>
      </c>
      <c r="E179" s="24" t="str">
        <f>IFERROR(__xludf.DUMMYFUNCTION("""COMPUTED_VALUE"""),"Emotional Intelligence")</f>
        <v>Emotional Intelligence</v>
      </c>
      <c r="F179" s="19" t="str">
        <f>IFERROR(__xludf.DUMMYFUNCTION("""COMPUTED_VALUE"""),"Complexly - Crash Course")</f>
        <v>Complexly - Crash Course</v>
      </c>
      <c r="G179" s="20">
        <f>IFERROR(__xludf.DUMMYFUNCTION("""COMPUTED_VALUE"""),11.0)</f>
        <v>11</v>
      </c>
      <c r="H179" s="20">
        <f>IFERROR(__xludf.DUMMYFUNCTION("""COMPUTED_VALUE"""),3.0)</f>
        <v>3</v>
      </c>
      <c r="I179" s="21" t="str">
        <f>IFERROR(__xludf.DUMMYFUNCTION("""COMPUTED_VALUE"""),"English, German")</f>
        <v>English, German</v>
      </c>
      <c r="J179" s="21" t="str">
        <f>IFERROR(__xludf.DUMMYFUNCTION("""COMPUTED_VALUE"""),"English")</f>
        <v>English</v>
      </c>
      <c r="K179" s="22">
        <f>IFERROR(__xludf.DUMMYFUNCTION("""COMPUTED_VALUE"""),45078.0)</f>
        <v>45078</v>
      </c>
      <c r="L179" s="23" t="str">
        <f>IFERROR(__xludf.DUMMYFUNCTION("""COMPUTED_VALUE"""),"https://masterplan.com/courses/3-tipps-das-kannst-du-selbst-gegen-burnout-tun")</f>
        <v>https://masterplan.com/courses/3-tipps-das-kannst-du-selbst-gegen-burnout-tun</v>
      </c>
    </row>
    <row r="180">
      <c r="A180" s="6" t="str">
        <f>IFERROR(__xludf.DUMMYFUNCTION("""COMPUTED_VALUE"""),"Elevator Pitch: In Sekundenschnelle überzeugen")</f>
        <v>Elevator Pitch: In Sekundenschnelle überzeugen</v>
      </c>
      <c r="B180" s="7" t="str">
        <f>IFERROR(__xludf.DUMMYFUNCTION("""COMPUTED_VALUE"""),"The Art of the Elevator Pitch")</f>
        <v>The Art of the Elevator Pitch</v>
      </c>
      <c r="C180" s="8" t="str">
        <f>IFERROR(__xludf.DUMMYFUNCTION("""COMPUTED_VALUE"""),"Wenn du Warren Buffet auf der Straße begegnen würdest, wüsstest du, was du sagst? Kannst du dein Anliegen in 30 Sekunden darlegen? Ein Elevator Pitch zeigt, dass du dein Geschäft kennst und es effektiv vermitteln kannst. Lerne  mithilfe der Harvard-Expert"&amp;"en wie!")</f>
        <v>Wenn du Warren Buffet auf der Straße begegnen würdest, wüsstest du, was du sagst? Kannst du dein Anliegen in 30 Sekunden darlegen? Ein Elevator Pitch zeigt, dass du dein Geschäft kennst und es effektiv vermitteln kannst. Lerne  mithilfe der Harvard-Experten wie!</v>
      </c>
      <c r="D180" s="8" t="str">
        <f>IFERROR(__xludf.DUMMYFUNCTION("""COMPUTED_VALUE"""),"If you ran into Warren Buffet on the street, would you know what to say? Can you make your case in 30 seconds– or less? An elevator pitch shows that you know your business and can communicate it effectively. Learn to develop your own with the experts at H"&amp;"arvard!")</f>
        <v>If you ran into Warren Buffet on the street, would you know what to say? Can you make your case in 30 seconds– or less? An elevator pitch shows that you know your business and can communicate it effectively. Learn to develop your own with the experts at Harvard!</v>
      </c>
      <c r="E180" s="28" t="str">
        <f>IFERROR(__xludf.DUMMYFUNCTION("""COMPUTED_VALUE"""),"Communication")</f>
        <v>Communication</v>
      </c>
      <c r="F180" s="10" t="str">
        <f>IFERROR(__xludf.DUMMYFUNCTION("""COMPUTED_VALUE"""),"Harvard Business Publishing - ")</f>
        <v>Harvard Business Publishing - </v>
      </c>
      <c r="G180" s="11">
        <f>IFERROR(__xludf.DUMMYFUNCTION("""COMPUTED_VALUE"""),23.0)</f>
        <v>23</v>
      </c>
      <c r="H180" s="11">
        <f>IFERROR(__xludf.DUMMYFUNCTION("""COMPUTED_VALUE"""),8.0)</f>
        <v>8</v>
      </c>
      <c r="I180" s="12" t="str">
        <f>IFERROR(__xludf.DUMMYFUNCTION("""COMPUTED_VALUE"""),"English, German")</f>
        <v>English, German</v>
      </c>
      <c r="J180" s="12" t="str">
        <f>IFERROR(__xludf.DUMMYFUNCTION("""COMPUTED_VALUE"""),"German")</f>
        <v>German</v>
      </c>
      <c r="K180" s="13">
        <f>IFERROR(__xludf.DUMMYFUNCTION("""COMPUTED_VALUE"""),45072.0)</f>
        <v>45072</v>
      </c>
      <c r="L180" s="14" t="str">
        <f>IFERROR(__xludf.DUMMYFUNCTION("""COMPUTED_VALUE"""),"https://masterplan.com/courses/elevator-pitch-in-sekundenschnelle-ueberzeugen")</f>
        <v>https://masterplan.com/courses/elevator-pitch-in-sekundenschnelle-ueberzeugen</v>
      </c>
    </row>
    <row r="181">
      <c r="A181" s="15" t="str">
        <f>IFERROR(__xludf.DUMMYFUNCTION("""COMPUTED_VALUE"""),"Problem erkannt, Problem gebannt: Creative Problem Solving")</f>
        <v>Problem erkannt, Problem gebannt: Creative Problem Solving</v>
      </c>
      <c r="B181" s="16" t="str">
        <f>IFERROR(__xludf.DUMMYFUNCTION("""COMPUTED_VALUE"""),"Problem Spotted, Problem Solved: Creative Problem Solving")</f>
        <v>Problem Spotted, Problem Solved: Creative Problem Solving</v>
      </c>
      <c r="C181" s="17" t="str">
        <f>IFERROR(__xludf.DUMMYFUNCTION("""COMPUTED_VALUE"""),"Altbekannte Probleme brauchen neue Lösungen - leichter gesagt als getan? Weit gefehlt! Creative Problem Solving regelt. Dieser Kurs bietet dir das perfekte Rüstzeug, mit dem unter anderem deine Brainstorming-Session zum vollen Erfolg werden!")</f>
        <v>Altbekannte Probleme brauchen neue Lösungen - leichter gesagt als getan? Weit gefehlt! Creative Problem Solving regelt. Dieser Kurs bietet dir das perfekte Rüstzeug, mit dem unter anderem deine Brainstorming-Session zum vollen Erfolg werden!</v>
      </c>
      <c r="D181" s="17" t="str">
        <f>IFERROR(__xludf.DUMMYFUNCTION("""COMPUTED_VALUE"""),"Old problems require new solutions - easier said than done? Far from it! Creative Problem Solving makes sure of that. This course offers you the perfect tools to make your brainstorming sessions a success!")</f>
        <v>Old problems require new solutions - easier said than done? Far from it! Creative Problem Solving makes sure of that. This course offers you the perfect tools to make your brainstorming sessions a success!</v>
      </c>
      <c r="E181" s="18" t="str">
        <f>IFERROR(__xludf.DUMMYFUNCTION("""COMPUTED_VALUE"""),"Creativity and Innovation")</f>
        <v>Creativity and Innovation</v>
      </c>
      <c r="F181" s="19" t="str">
        <f>IFERROR(__xludf.DUMMYFUNCTION("""COMPUTED_VALUE"""),"Harvard Business Publishing - ")</f>
        <v>Harvard Business Publishing - </v>
      </c>
      <c r="G181" s="20">
        <f>IFERROR(__xludf.DUMMYFUNCTION("""COMPUTED_VALUE"""),45.0)</f>
        <v>45</v>
      </c>
      <c r="H181" s="20">
        <f>IFERROR(__xludf.DUMMYFUNCTION("""COMPUTED_VALUE"""),20.0)</f>
        <v>20</v>
      </c>
      <c r="I181" s="21" t="str">
        <f>IFERROR(__xludf.DUMMYFUNCTION("""COMPUTED_VALUE"""),"English, German")</f>
        <v>English, German</v>
      </c>
      <c r="J181" s="21" t="str">
        <f>IFERROR(__xludf.DUMMYFUNCTION("""COMPUTED_VALUE"""),"German")</f>
        <v>German</v>
      </c>
      <c r="K181" s="22">
        <f>IFERROR(__xludf.DUMMYFUNCTION("""COMPUTED_VALUE"""),45071.0)</f>
        <v>45071</v>
      </c>
      <c r="L181" s="23" t="str">
        <f>IFERROR(__xludf.DUMMYFUNCTION("""COMPUTED_VALUE"""),"https://masterplan.com/courses/problem-erkannt-problem-gebannt-creative-problem-solving")</f>
        <v>https://masterplan.com/courses/problem-erkannt-problem-gebannt-creative-problem-solving</v>
      </c>
    </row>
    <row r="182">
      <c r="A182" s="6" t="str">
        <f>IFERROR(__xludf.DUMMYFUNCTION("""COMPUTED_VALUE"""),"Pluralistic Ignorance")</f>
        <v>Pluralistic Ignorance</v>
      </c>
      <c r="B182" s="7" t="str">
        <f>IFERROR(__xludf.DUMMYFUNCTION("""COMPUTED_VALUE"""),"Pluralistic Ignorance")</f>
        <v>Pluralistic Ignorance</v>
      </c>
      <c r="C182" s="8" t="str">
        <f>IFERROR(__xludf.DUMMYFUNCTION("""COMPUTED_VALUE"""),"Hast du schon einmal in einer Besprechung genickt und so getan, als ob du alles verstanden hättest? Du bist nicht allein. Entdecke das Konzept der pluralistischen Ignoranz und lern in diesem Short, wie du sie überwinden kannst.")</f>
        <v>Hast du schon einmal in einer Besprechung genickt und so getan, als ob du alles verstanden hättest? Du bist nicht allein. Entdecke das Konzept der pluralistischen Ignoranz und lern in diesem Short, wie du sie überwinden kannst.</v>
      </c>
      <c r="D182" s="8" t="str">
        <f>IFERROR(__xludf.DUMMYFUNCTION("""COMPUTED_VALUE"""),"Ever nodded along in a meeting, pretending to understand? You're not alone. Discover the concept of pluralistic ignorance and learn how to overcome it in this Short.")</f>
        <v>Ever nodded along in a meeting, pretending to understand? You're not alone. Discover the concept of pluralistic ignorance and learn how to overcome it in this Short.</v>
      </c>
      <c r="E182" s="26" t="str">
        <f>IFERROR(__xludf.DUMMYFUNCTION("""COMPUTED_VALUE"""),"Collaboration and Leadership")</f>
        <v>Collaboration and Leadership</v>
      </c>
      <c r="F182" s="10" t="str">
        <f>IFERROR(__xludf.DUMMYFUNCTION("""COMPUTED_VALUE"""),"Masterplan - Laura Graichen")</f>
        <v>Masterplan - Laura Graichen</v>
      </c>
      <c r="G182" s="11">
        <f>IFERROR(__xludf.DUMMYFUNCTION("""COMPUTED_VALUE"""),4.0)</f>
        <v>4</v>
      </c>
      <c r="H182" s="11">
        <f>IFERROR(__xludf.DUMMYFUNCTION("""COMPUTED_VALUE"""),3.0)</f>
        <v>3</v>
      </c>
      <c r="I182" s="12" t="str">
        <f>IFERROR(__xludf.DUMMYFUNCTION("""COMPUTED_VALUE"""),"English, German")</f>
        <v>English, German</v>
      </c>
      <c r="J182" s="12" t="str">
        <f>IFERROR(__xludf.DUMMYFUNCTION("""COMPUTED_VALUE"""),"German")</f>
        <v>German</v>
      </c>
      <c r="K182" s="13">
        <f>IFERROR(__xludf.DUMMYFUNCTION("""COMPUTED_VALUE"""),45063.0)</f>
        <v>45063</v>
      </c>
      <c r="L182" s="14" t="str">
        <f>IFERROR(__xludf.DUMMYFUNCTION("""COMPUTED_VALUE"""),"https://masterplan.com/courses/mp-shorts-pluralistische-ignoranz")</f>
        <v>https://masterplan.com/courses/mp-shorts-pluralistische-ignoranz</v>
      </c>
    </row>
    <row r="183">
      <c r="A183" s="15" t="str">
        <f>IFERROR(__xludf.DUMMYFUNCTION("""COMPUTED_VALUE"""),"Der False Consensus Effect")</f>
        <v>Der False Consensus Effect</v>
      </c>
      <c r="B183" s="16" t="str">
        <f>IFERROR(__xludf.DUMMYFUNCTION("""COMPUTED_VALUE"""),"The False Consensus Effect")</f>
        <v>The False Consensus Effect</v>
      </c>
      <c r="C183" s="17" t="str">
        <f>IFERROR(__xludf.DUMMYFUNCTION("""COMPUTED_VALUE"""),"Entdecke den False Consensus Effect - ein kognitiver Bias, der unsere Wahrnehmung der Realität verzerrt. Erfahre, wie er unsere Entscheidungen beeinflusst und wie du ihm für eine bessere Kommunikation entgegenwirken kannst.")</f>
        <v>Entdecke den False Consensus Effect - ein kognitiver Bias, der unsere Wahrnehmung der Realität verzerrt. Erfahre, wie er unsere Entscheidungen beeinflusst und wie du ihm für eine bessere Kommunikation entgegenwirken kannst.</v>
      </c>
      <c r="D183" s="17" t="str">
        <f>IFERROR(__xludf.DUMMYFUNCTION("""COMPUTED_VALUE"""),"Discover the False Consensus Effect– a cognitive bias that distorts our perception of reality. Learn how it influences our decisions and how to counteract it for better communication.")</f>
        <v>Discover the False Consensus Effect– a cognitive bias that distorts our perception of reality. Learn how it influences our decisions and how to counteract it for better communication.</v>
      </c>
      <c r="E183" s="29" t="str">
        <f>IFERROR(__xludf.DUMMYFUNCTION("""COMPUTED_VALUE"""),"Thinking and Deciding Clearly")</f>
        <v>Thinking and Deciding Clearly</v>
      </c>
      <c r="F183" s="19" t="str">
        <f>IFERROR(__xludf.DUMMYFUNCTION("""COMPUTED_VALUE"""),"Masterplan - Laura Graichen")</f>
        <v>Masterplan - Laura Graichen</v>
      </c>
      <c r="G183" s="20">
        <f>IFERROR(__xludf.DUMMYFUNCTION("""COMPUTED_VALUE"""),4.0)</f>
        <v>4</v>
      </c>
      <c r="H183" s="20">
        <f>IFERROR(__xludf.DUMMYFUNCTION("""COMPUTED_VALUE"""),3.0)</f>
        <v>3</v>
      </c>
      <c r="I183" s="21" t="str">
        <f>IFERROR(__xludf.DUMMYFUNCTION("""COMPUTED_VALUE"""),"English, German")</f>
        <v>English, German</v>
      </c>
      <c r="J183" s="21" t="str">
        <f>IFERROR(__xludf.DUMMYFUNCTION("""COMPUTED_VALUE"""),"German")</f>
        <v>German</v>
      </c>
      <c r="K183" s="22">
        <f>IFERROR(__xludf.DUMMYFUNCTION("""COMPUTED_VALUE"""),45063.0)</f>
        <v>45063</v>
      </c>
      <c r="L183" s="23" t="str">
        <f>IFERROR(__xludf.DUMMYFUNCTION("""COMPUTED_VALUE"""),"https://masterplan.com/courses/mp-shorts-der-false-consensus-effect")</f>
        <v>https://masterplan.com/courses/mp-shorts-der-false-consensus-effect</v>
      </c>
    </row>
    <row r="184">
      <c r="A184" s="6" t="str">
        <f>IFERROR(__xludf.DUMMYFUNCTION("""COMPUTED_VALUE"""),"Das Imposter-Syndrom")</f>
        <v>Das Imposter-Syndrom</v>
      </c>
      <c r="B184" s="7" t="str">
        <f>IFERROR(__xludf.DUMMYFUNCTION("""COMPUTED_VALUE"""),"Imposter Syndrome")</f>
        <v>Imposter Syndrome</v>
      </c>
      <c r="C184" s="8" t="str">
        <f>IFERROR(__xludf.DUMMYFUNCTION("""COMPUTED_VALUE"""),"Hast du dich bei der Arbeit schon einmal wie ein:e totale:r Betrüger:in gefühlt, selbst wenn du alles richtig gemacht hast? Dann leidest du vielleicht unter dem Imposter-Syndrom! In diesem Short lernst du, was die Ursachen dafür sind und was du dagegen tu"&amp;"n kannst. ")</f>
        <v>Hast du dich bei der Arbeit schon einmal wie ein:e totale:r Betrüger:in gefühlt, selbst wenn du alles richtig gemacht hast? Dann leidest du vielleicht unter dem Imposter-Syndrom! In diesem Short lernst du, was die Ursachen dafür sind und was du dagegen tun kannst. </v>
      </c>
      <c r="D184" s="8" t="str">
        <f>IFERROR(__xludf.DUMMYFUNCTION("""COMPUTED_VALUE"""),"Ever felt like a total fraud at work, even when you're nailing it? You might have Imposter Syndrome! Discover its causes and how to truly embrace your successes in this Short!")</f>
        <v>Ever felt like a total fraud at work, even when you're nailing it? You might have Imposter Syndrome! Discover its causes and how to truly embrace your successes in this Short!</v>
      </c>
      <c r="E184" s="24" t="str">
        <f>IFERROR(__xludf.DUMMYFUNCTION("""COMPUTED_VALUE"""),"Emotional Intelligence")</f>
        <v>Emotional Intelligence</v>
      </c>
      <c r="F184" s="10" t="str">
        <f>IFERROR(__xludf.DUMMYFUNCTION("""COMPUTED_VALUE"""),"Masterplan - Nadine Wagenaar")</f>
        <v>Masterplan - Nadine Wagenaar</v>
      </c>
      <c r="G184" s="11">
        <f>IFERROR(__xludf.DUMMYFUNCTION("""COMPUTED_VALUE"""),4.0)</f>
        <v>4</v>
      </c>
      <c r="H184" s="11">
        <f>IFERROR(__xludf.DUMMYFUNCTION("""COMPUTED_VALUE"""),3.0)</f>
        <v>3</v>
      </c>
      <c r="I184" s="12" t="str">
        <f>IFERROR(__xludf.DUMMYFUNCTION("""COMPUTED_VALUE"""),"English, German")</f>
        <v>English, German</v>
      </c>
      <c r="J184" s="12" t="str">
        <f>IFERROR(__xludf.DUMMYFUNCTION("""COMPUTED_VALUE"""),"German")</f>
        <v>German</v>
      </c>
      <c r="K184" s="13">
        <f>IFERROR(__xludf.DUMMYFUNCTION("""COMPUTED_VALUE"""),45063.0)</f>
        <v>45063</v>
      </c>
      <c r="L184" s="14" t="str">
        <f>IFERROR(__xludf.DUMMYFUNCTION("""COMPUTED_VALUE"""),"https://masterplan.com/courses/mp-shorts-das-imposter-syndrom")</f>
        <v>https://masterplan.com/courses/mp-shorts-das-imposter-syndrom</v>
      </c>
    </row>
    <row r="185">
      <c r="A185" s="15" t="str">
        <f>IFERROR(__xludf.DUMMYFUNCTION("""COMPUTED_VALUE"""),"Adobe InDesign: Der ultimative Guide IV")</f>
        <v>Adobe InDesign: Der ultimative Guide IV</v>
      </c>
      <c r="B185" s="16" t="str">
        <f>IFERROR(__xludf.DUMMYFUNCTION("""COMPUTED_VALUE"""),"The Essential Guide to Adobe InDesign IV")</f>
        <v>The Essential Guide to Adobe InDesign IV</v>
      </c>
      <c r="C185" s="17" t="str">
        <f>IFERROR(__xludf.DUMMYFUNCTION("""COMPUTED_VALUE"""),"Meistere Adobe InDesign mit dem letzten Kurs der Reihe! Lerne, Arbeitsabläufe zu optimieren, Musterseiten anzuwenden, interaktive PDFs zu gestalten und mehr! Perfekt für Verleger:innen, Designer:innen und alle, die mit Leichtigkeit ausgefeilte Layouts ers"&amp;"tellen wollen.")</f>
        <v>Meistere Adobe InDesign mit dem letzten Kurs der Reihe! Lerne, Arbeitsabläufe zu optimieren, Musterseiten anzuwenden, interaktive PDFs zu gestalten und mehr! Perfekt für Verleger:innen, Designer:innen und alle, die mit Leichtigkeit ausgefeilte Layouts erstellen wollen.</v>
      </c>
      <c r="D185" s="17" t="str">
        <f>IFERROR(__xludf.DUMMYFUNCTION("""COMPUTED_VALUE"""),"Master Adobe InDesign with our final course in the series! Learn to streamline workflows, apply master pages, design interactive PDFs, and more! Perfect for publishers, designers, and anyone looking to create beautiful, polished layouts with ease.")</f>
        <v>Master Adobe InDesign with our final course in the series! Learn to streamline workflows, apply master pages, design interactive PDFs, and more! Perfect for publishers, designers, and anyone looking to create beautiful, polished layouts with ease.</v>
      </c>
      <c r="E185" s="27" t="str">
        <f>IFERROR(__xludf.DUMMYFUNCTION("""COMPUTED_VALUE"""),"Tools &amp; Tutorials")</f>
        <v>Tools &amp; Tutorials</v>
      </c>
      <c r="F185" s="19" t="str">
        <f>IFERROR(__xludf.DUMMYFUNCTION("""COMPUTED_VALUE"""),"Intellezy - Jim Searles")</f>
        <v>Intellezy - Jim Searles</v>
      </c>
      <c r="G185" s="20">
        <f>IFERROR(__xludf.DUMMYFUNCTION("""COMPUTED_VALUE"""),189.0)</f>
        <v>189</v>
      </c>
      <c r="H185" s="20">
        <f>IFERROR(__xludf.DUMMYFUNCTION("""COMPUTED_VALUE"""),68.0)</f>
        <v>68</v>
      </c>
      <c r="I185" s="21" t="str">
        <f>IFERROR(__xludf.DUMMYFUNCTION("""COMPUTED_VALUE"""),"English, German")</f>
        <v>English, German</v>
      </c>
      <c r="J185" s="21" t="str">
        <f>IFERROR(__xludf.DUMMYFUNCTION("""COMPUTED_VALUE"""),"English")</f>
        <v>English</v>
      </c>
      <c r="K185" s="22">
        <f>IFERROR(__xludf.DUMMYFUNCTION("""COMPUTED_VALUE"""),45061.0)</f>
        <v>45061</v>
      </c>
      <c r="L185" s="23" t="str">
        <f>IFERROR(__xludf.DUMMYFUNCTION("""COMPUTED_VALUE"""),"https://masterplan.com/courses/adobe-indesign-der-ultimative-guide-iv")</f>
        <v>https://masterplan.com/courses/adobe-indesign-der-ultimative-guide-iv</v>
      </c>
    </row>
    <row r="186">
      <c r="A186" s="6" t="str">
        <f>IFERROR(__xludf.DUMMYFUNCTION("""COMPUTED_VALUE"""),"Wer nicht fragt, bleibt ...? Kritisches Denken in der Praxis")</f>
        <v>Wer nicht fragt, bleibt ...? Kritisches Denken in der Praxis</v>
      </c>
      <c r="B186" s="7" t="str">
        <f>IFERROR(__xludf.DUMMYFUNCTION("""COMPUTED_VALUE"""),"Critical Thinking in Practice")</f>
        <v>Critical Thinking in Practice</v>
      </c>
      <c r="C186" s="8" t="str">
        <f>IFERROR(__xludf.DUMMYFUNCTION("""COMPUTED_VALUE"""),"Cogito ergo sum: Für René Descartes war klar, dass Denken eine der wichtigsten Fähigkeiten ist. Doch laut Umfragen ist die Fähigkeit des kritischen Denkens Mangelware - bis jetzt! Mit diesem Kurs kannst du es mit den größten Denker:innen der Weltgeschicht"&amp;"e aufnehmen! ")</f>
        <v>Cogito ergo sum: Für René Descartes war klar, dass Denken eine der wichtigsten Fähigkeiten ist. Doch laut Umfragen ist die Fähigkeit des kritischen Denkens Mangelware - bis jetzt! Mit diesem Kurs kannst du es mit den größten Denker:innen der Weltgeschichte aufnehmen! </v>
      </c>
      <c r="D186" s="8" t="str">
        <f>IFERROR(__xludf.DUMMYFUNCTION("""COMPUTED_VALUE"""),"Cogito ergo sum: For René Descartes, it was clear that thinking is one of the most important skills. But according to surveys, the ability to think critically is scarce - so far! With this course you can take on the greatest thinkers in world history!")</f>
        <v>Cogito ergo sum: For René Descartes, it was clear that thinking is one of the most important skills. But according to surveys, the ability to think critically is scarce - so far! With this course you can take on the greatest thinkers in world history!</v>
      </c>
      <c r="E186" s="29" t="str">
        <f>IFERROR(__xludf.DUMMYFUNCTION("""COMPUTED_VALUE"""),"Thinking and Deciding Clearly")</f>
        <v>Thinking and Deciding Clearly</v>
      </c>
      <c r="F186" s="10" t="str">
        <f>IFERROR(__xludf.DUMMYFUNCTION("""COMPUTED_VALUE"""),"Harvard Business - ")</f>
        <v>Harvard Business - </v>
      </c>
      <c r="G186" s="11">
        <f>IFERROR(__xludf.DUMMYFUNCTION("""COMPUTED_VALUE"""),34.0)</f>
        <v>34</v>
      </c>
      <c r="H186" s="11">
        <f>IFERROR(__xludf.DUMMYFUNCTION("""COMPUTED_VALUE"""),10.0)</f>
        <v>10</v>
      </c>
      <c r="I186" s="12" t="str">
        <f>IFERROR(__xludf.DUMMYFUNCTION("""COMPUTED_VALUE"""),"English, German")</f>
        <v>English, German</v>
      </c>
      <c r="J186" s="12" t="str">
        <f>IFERROR(__xludf.DUMMYFUNCTION("""COMPUTED_VALUE"""),"German")</f>
        <v>German</v>
      </c>
      <c r="K186" s="13">
        <f>IFERROR(__xludf.DUMMYFUNCTION("""COMPUTED_VALUE"""),45056.0)</f>
        <v>45056</v>
      </c>
      <c r="L186" s="14" t="str">
        <f>IFERROR(__xludf.DUMMYFUNCTION("""COMPUTED_VALUE"""),"https://masterplan.com/courses/wer-nicht-fragt-bleibt-kritisches-denken-in-der-praxis")</f>
        <v>https://masterplan.com/courses/wer-nicht-fragt-bleibt-kritisches-denken-in-der-praxis</v>
      </c>
    </row>
    <row r="187">
      <c r="A187" s="15" t="str">
        <f>IFERROR(__xludf.DUMMYFUNCTION("""COMPUTED_VALUE"""),"Adobe Illustrator: Der Ultimative Guide II")</f>
        <v>Adobe Illustrator: Der Ultimative Guide II</v>
      </c>
      <c r="B187" s="16" t="str">
        <f>IFERROR(__xludf.DUMMYFUNCTION("""COMPUTED_VALUE"""),"The Essential Guide to Adobe Illustrator II")</f>
        <v>The Essential Guide to Adobe Illustrator II</v>
      </c>
      <c r="C187" s="17" t="str">
        <f>IFERROR(__xludf.DUMMYFUNCTION("""COMPUTED_VALUE"""),"Bist du bereit, dein Wissen über Adobe Illustrator zu erweitern? Im letzten Teil unseres Ultimativen Guides lernst du erweiterte Optionen für Textanpassung, Formen, Grafikimport und 3D-Perspektive kennen, um wie ein Profi zu illustrieren!")</f>
        <v>Bist du bereit, dein Wissen über Adobe Illustrator zu erweitern? Im letzten Teil unseres Ultimativen Guides lernst du erweiterte Optionen für Textanpassung, Formen, Grafikimport und 3D-Perspektive kennen, um wie ein Profi zu illustrieren!</v>
      </c>
      <c r="D187" s="17" t="str">
        <f>IFERROR(__xludf.DUMMYFUNCTION("""COMPUTED_VALUE"""),"Ready to graduate to advanced knowledge of Adobe Illustrator? In the final part of our essential guide, you'll learn about advanced options for customizing text, creating shapes, importing graphics, and working with 3D perspective, so you can illustrate l"&amp;"ike a pro!")</f>
        <v>Ready to graduate to advanced knowledge of Adobe Illustrator? In the final part of our essential guide, you'll learn about advanced options for customizing text, creating shapes, importing graphics, and working with 3D perspective, so you can illustrate like a pro!</v>
      </c>
      <c r="E187" s="27" t="str">
        <f>IFERROR(__xludf.DUMMYFUNCTION("""COMPUTED_VALUE"""),"Tools &amp; Tutorials")</f>
        <v>Tools &amp; Tutorials</v>
      </c>
      <c r="F187" s="19" t="str">
        <f>IFERROR(__xludf.DUMMYFUNCTION("""COMPUTED_VALUE"""),"Intellezy - Jim Searles")</f>
        <v>Intellezy - Jim Searles</v>
      </c>
      <c r="G187" s="20">
        <f>IFERROR(__xludf.DUMMYFUNCTION("""COMPUTED_VALUE"""),263.0)</f>
        <v>263</v>
      </c>
      <c r="H187" s="20">
        <f>IFERROR(__xludf.DUMMYFUNCTION("""COMPUTED_VALUE"""),80.0)</f>
        <v>80</v>
      </c>
      <c r="I187" s="21" t="str">
        <f>IFERROR(__xludf.DUMMYFUNCTION("""COMPUTED_VALUE"""),"English, German")</f>
        <v>English, German</v>
      </c>
      <c r="J187" s="21" t="str">
        <f>IFERROR(__xludf.DUMMYFUNCTION("""COMPUTED_VALUE"""),"English")</f>
        <v>English</v>
      </c>
      <c r="K187" s="22">
        <f>IFERROR(__xludf.DUMMYFUNCTION("""COMPUTED_VALUE"""),45056.0)</f>
        <v>45056</v>
      </c>
      <c r="L187" s="23" t="str">
        <f>IFERROR(__xludf.DUMMYFUNCTION("""COMPUTED_VALUE"""),"https://masterplan.com/courses/adobe-illustrator-der-ultimative-guide-ii")</f>
        <v>https://masterplan.com/courses/adobe-illustrator-der-ultimative-guide-ii</v>
      </c>
    </row>
    <row r="188">
      <c r="A188" s="6" t="str">
        <f>IFERROR(__xludf.DUMMYFUNCTION("""COMPUTED_VALUE"""),"Adobe InDesign: Der Ultimative Guide III")</f>
        <v>Adobe InDesign: Der Ultimative Guide III</v>
      </c>
      <c r="B188" s="7" t="str">
        <f>IFERROR(__xludf.DUMMYFUNCTION("""COMPUTED_VALUE"""),"The Essential Guide to Adobe InDesign III")</f>
        <v>The Essential Guide to Adobe InDesign III</v>
      </c>
      <c r="C188" s="8" t="str">
        <f>IFERROR(__xludf.DUMMYFUNCTION("""COMPUTED_VALUE"""),"Bist du bereit, in die fortgeschrittenen Kenntnisse von Adobe InDesign einzutauchen? In Teil 3 von 4 behandeln wir alle erweiterten Textoptionen, von angepassten Seitenzahlen bis hin zu Textpfaden, damit dein Design genau die richtige Geschichte erzählen "&amp;"kann!")</f>
        <v>Bist du bereit, in die fortgeschrittenen Kenntnisse von Adobe InDesign einzutauchen? In Teil 3 von 4 behandeln wir alle erweiterten Textoptionen, von angepassten Seitenzahlen bis hin zu Textpfaden, damit dein Design genau die richtige Geschichte erzählen kann!</v>
      </c>
      <c r="D188" s="8" t="str">
        <f>IFERROR(__xludf.DUMMYFUNCTION("""COMPUTED_VALUE"""),"Ready to dive into advanced knowledge of Adobe InDesign? In part 3 out of 4, we'll cover all the advanced text options, from customized page numbers to Text Paths, so your design can tell exactly the right story!")</f>
        <v>Ready to dive into advanced knowledge of Adobe InDesign? In part 3 out of 4, we'll cover all the advanced text options, from customized page numbers to Text Paths, so your design can tell exactly the right story!</v>
      </c>
      <c r="E188" s="27" t="str">
        <f>IFERROR(__xludf.DUMMYFUNCTION("""COMPUTED_VALUE"""),"Tools &amp; Tutorials")</f>
        <v>Tools &amp; Tutorials</v>
      </c>
      <c r="F188" s="10" t="str">
        <f>IFERROR(__xludf.DUMMYFUNCTION("""COMPUTED_VALUE"""),"Intellezy - Jim Searles")</f>
        <v>Intellezy - Jim Searles</v>
      </c>
      <c r="G188" s="11">
        <f>IFERROR(__xludf.DUMMYFUNCTION("""COMPUTED_VALUE"""),140.0)</f>
        <v>140</v>
      </c>
      <c r="H188" s="11">
        <f>IFERROR(__xludf.DUMMYFUNCTION("""COMPUTED_VALUE"""),50.0)</f>
        <v>50</v>
      </c>
      <c r="I188" s="12" t="str">
        <f>IFERROR(__xludf.DUMMYFUNCTION("""COMPUTED_VALUE"""),"English, German")</f>
        <v>English, German</v>
      </c>
      <c r="J188" s="12" t="str">
        <f>IFERROR(__xludf.DUMMYFUNCTION("""COMPUTED_VALUE"""),"English")</f>
        <v>English</v>
      </c>
      <c r="K188" s="13">
        <f>IFERROR(__xludf.DUMMYFUNCTION("""COMPUTED_VALUE"""),45054.0)</f>
        <v>45054</v>
      </c>
      <c r="L188" s="14" t="str">
        <f>IFERROR(__xludf.DUMMYFUNCTION("""COMPUTED_VALUE"""),"https://masterplan.com/courses/adobe-indesign-der-ultimative-guide-iii")</f>
        <v>https://masterplan.com/courses/adobe-indesign-der-ultimative-guide-iii</v>
      </c>
    </row>
    <row r="189">
      <c r="A189" s="15" t="str">
        <f>IFERROR(__xludf.DUMMYFUNCTION("""COMPUTED_VALUE"""),"Der Barnum-Effekt")</f>
        <v>Der Barnum-Effekt</v>
      </c>
      <c r="B189" s="16" t="str">
        <f>IFERROR(__xludf.DUMMYFUNCTION("""COMPUTED_VALUE"""),"The Barnum Effect")</f>
        <v>The Barnum Effect</v>
      </c>
      <c r="C189" s="17" t="str">
        <f>IFERROR(__xludf.DUMMYFUNCTION("""COMPUTED_VALUE"""),"Wetten, dass wir dich ziemlich gut kennen? Du neigst dazu, kritisch mit dir selbst zu sein und zweifelst öfter daran, ob deine Entscheidungen richtig sind. Manchmal bist du extravertiert und aufgeschlossen, manchmal skeptisch und zurückhaltend. Woher wir "&amp;"das wissen...?")</f>
        <v>Wetten, dass wir dich ziemlich gut kennen? Du neigst dazu, kritisch mit dir selbst zu sein und zweifelst öfter daran, ob deine Entscheidungen richtig sind. Manchmal bist du extravertiert und aufgeschlossen, manchmal skeptisch und zurückhaltend. Woher wir das wissen...?</v>
      </c>
      <c r="D189" s="17" t="str">
        <f>IFERROR(__xludf.DUMMYFUNCTION("""COMPUTED_VALUE"""),"We bet we know you pretty well. You tend to be critical of yourself and often doubt whether your decisions are right. Sometimes you are extroverted and open-minded, sometimes sceptical and reserved. Wonder how we know that...?")</f>
        <v>We bet we know you pretty well. You tend to be critical of yourself and often doubt whether your decisions are right. Sometimes you are extroverted and open-minded, sometimes sceptical and reserved. Wonder how we know that...?</v>
      </c>
      <c r="E189" s="24" t="str">
        <f>IFERROR(__xludf.DUMMYFUNCTION("""COMPUTED_VALUE"""),"Emotional Intelligence")</f>
        <v>Emotional Intelligence</v>
      </c>
      <c r="F189" s="19" t="str">
        <f>IFERROR(__xludf.DUMMYFUNCTION("""COMPUTED_VALUE"""),"Masterplan - Laura Graichen")</f>
        <v>Masterplan - Laura Graichen</v>
      </c>
      <c r="G189" s="20">
        <f>IFERROR(__xludf.DUMMYFUNCTION("""COMPUTED_VALUE"""),5.0)</f>
        <v>5</v>
      </c>
      <c r="H189" s="20">
        <f>IFERROR(__xludf.DUMMYFUNCTION("""COMPUTED_VALUE"""),3.0)</f>
        <v>3</v>
      </c>
      <c r="I189" s="21" t="str">
        <f>IFERROR(__xludf.DUMMYFUNCTION("""COMPUTED_VALUE"""),"English, German")</f>
        <v>English, German</v>
      </c>
      <c r="J189" s="21" t="str">
        <f>IFERROR(__xludf.DUMMYFUNCTION("""COMPUTED_VALUE"""),"German")</f>
        <v>German</v>
      </c>
      <c r="K189" s="22">
        <f>IFERROR(__xludf.DUMMYFUNCTION("""COMPUTED_VALUE"""),45035.0)</f>
        <v>45035</v>
      </c>
      <c r="L189" s="23" t="str">
        <f>IFERROR(__xludf.DUMMYFUNCTION("""COMPUTED_VALUE"""),"https://masterplan.com/courses/mp-shorts-der-barnum-effekt")</f>
        <v>https://masterplan.com/courses/mp-shorts-der-barnum-effekt</v>
      </c>
    </row>
    <row r="190">
      <c r="A190" s="6" t="str">
        <f>IFERROR(__xludf.DUMMYFUNCTION("""COMPUTED_VALUE"""),"Die Affektheuristik")</f>
        <v>Die Affektheuristik</v>
      </c>
      <c r="B190" s="7" t="str">
        <f>IFERROR(__xludf.DUMMYFUNCTION("""COMPUTED_VALUE"""),"The Affect Heuristic")</f>
        <v>The Affect Heuristic</v>
      </c>
      <c r="C190" s="8" t="str">
        <f>IFERROR(__xludf.DUMMYFUNCTION("""COMPUTED_VALUE"""),"Was verbindest du mit dem Begriff ""Tabak""? Vielleicht ein wenig ""Liberté Toujours"" oder einen gutaussehenden Cowboy? Positive Assoziationen mit negativen Folgen: die Tabakindustrie macht sich hier ganz bewusst die Affektheuristik zu Nutze!")</f>
        <v>Was verbindest du mit dem Begriff "Tabak"? Vielleicht ein wenig "Liberté Toujours" oder einen gutaussehenden Cowboy? Positive Assoziationen mit negativen Folgen: die Tabakindustrie macht sich hier ganz bewusst die Affektheuristik zu Nutze!</v>
      </c>
      <c r="D190" s="8" t="str">
        <f>IFERROR(__xludf.DUMMYFUNCTION("""COMPUTED_VALUE"""),"What do you associate with the term ""tobacco""? Maybe a little ""Liberté Toujours"" or a good-looking cowboy? Positive associations with negative consequences: the tobacco industry is deliberately making use of affect heuristics here!")</f>
        <v>What do you associate with the term "tobacco"? Maybe a little "Liberté Toujours" or a good-looking cowboy? Positive associations with negative consequences: the tobacco industry is deliberately making use of affect heuristics here!</v>
      </c>
      <c r="E190" s="29" t="str">
        <f>IFERROR(__xludf.DUMMYFUNCTION("""COMPUTED_VALUE"""),"Thinking and Deciding Clearly")</f>
        <v>Thinking and Deciding Clearly</v>
      </c>
      <c r="F190" s="10" t="str">
        <f>IFERROR(__xludf.DUMMYFUNCTION("""COMPUTED_VALUE"""),"Masterplan - Laura Graichen")</f>
        <v>Masterplan - Laura Graichen</v>
      </c>
      <c r="G190" s="11">
        <f>IFERROR(__xludf.DUMMYFUNCTION("""COMPUTED_VALUE"""),5.0)</f>
        <v>5</v>
      </c>
      <c r="H190" s="11">
        <f>IFERROR(__xludf.DUMMYFUNCTION("""COMPUTED_VALUE"""),3.0)</f>
        <v>3</v>
      </c>
      <c r="I190" s="12" t="str">
        <f>IFERROR(__xludf.DUMMYFUNCTION("""COMPUTED_VALUE"""),"English, German")</f>
        <v>English, German</v>
      </c>
      <c r="J190" s="12" t="str">
        <f>IFERROR(__xludf.DUMMYFUNCTION("""COMPUTED_VALUE"""),"German")</f>
        <v>German</v>
      </c>
      <c r="K190" s="13">
        <f>IFERROR(__xludf.DUMMYFUNCTION("""COMPUTED_VALUE"""),45035.0)</f>
        <v>45035</v>
      </c>
      <c r="L190" s="14" t="str">
        <f>IFERROR(__xludf.DUMMYFUNCTION("""COMPUTED_VALUE"""),"https://masterplan.com/courses/mp-shorts-die-affektheuristik")</f>
        <v>https://masterplan.com/courses/mp-shorts-die-affektheuristik</v>
      </c>
    </row>
    <row r="191">
      <c r="A191" s="15" t="str">
        <f>IFERROR(__xludf.DUMMYFUNCTION("""COMPUTED_VALUE"""),"Grundlagen der Compliance")</f>
        <v>Grundlagen der Compliance</v>
      </c>
      <c r="B191" s="16" t="str">
        <f>IFERROR(__xludf.DUMMYFUNCTION("""COMPUTED_VALUE"""),"Fundamentals of Compliance")</f>
        <v>Fundamentals of Compliance</v>
      </c>
      <c r="C191" s="17" t="str">
        <f>IFERROR(__xludf.DUMMYFUNCTION("""COMPUTED_VALUE"""),"Von Wurstkartellen und geschäftlichen Bordellbesuchen über verhängnisvolle Päckchen nach Nordkorea bis hin zu dummen Blondinenwitzen: Zusammen gehen wir korrupten Machenschaften und noch vielem mehr auf den Grund. So wirst du zum nächsten Compliance-Vollp"&amp;"rofi!")</f>
        <v>Von Wurstkartellen und geschäftlichen Bordellbesuchen über verhängnisvolle Päckchen nach Nordkorea bis hin zu dummen Blondinenwitzen: Zusammen gehen wir korrupten Machenschaften und noch vielem mehr auf den Grund. So wirst du zum nächsten Compliance-Vollprofi!</v>
      </c>
      <c r="D191" s="17" t="str">
        <f>IFERROR(__xludf.DUMMYFUNCTION("""COMPUTED_VALUE"""),"From sausage cartels and brothel visits to fatal packages to North Korea and silly blonde jokes: Together, we'll get to the bottom of corrupt schemes and much more. This is how you become the next compliance professional!")</f>
        <v>From sausage cartels and brothel visits to fatal packages to North Korea and silly blonde jokes: Together, we'll get to the bottom of corrupt schemes and much more. This is how you become the next compliance professional!</v>
      </c>
      <c r="E191" s="9" t="str">
        <f>IFERROR(__xludf.DUMMYFUNCTION("""COMPUTED_VALUE"""),"Mandatory Training")</f>
        <v>Mandatory Training</v>
      </c>
      <c r="F191" s="19" t="str">
        <f>IFERROR(__xludf.DUMMYFUNCTION("""COMPUTED_VALUE"""),"Masterplan - Laura Graichen")</f>
        <v>Masterplan - Laura Graichen</v>
      </c>
      <c r="G191" s="20">
        <f>IFERROR(__xludf.DUMMYFUNCTION("""COMPUTED_VALUE"""),52.0)</f>
        <v>52</v>
      </c>
      <c r="H191" s="20">
        <f>IFERROR(__xludf.DUMMYFUNCTION("""COMPUTED_VALUE"""),26.0)</f>
        <v>26</v>
      </c>
      <c r="I191" s="21" t="str">
        <f>IFERROR(__xludf.DUMMYFUNCTION("""COMPUTED_VALUE"""),"English, German")</f>
        <v>English, German</v>
      </c>
      <c r="J191" s="21" t="str">
        <f>IFERROR(__xludf.DUMMYFUNCTION("""COMPUTED_VALUE"""),"German")</f>
        <v>German</v>
      </c>
      <c r="K191" s="22">
        <f>IFERROR(__xludf.DUMMYFUNCTION("""COMPUTED_VALUE"""),45035.0)</f>
        <v>45035</v>
      </c>
      <c r="L191" s="23" t="str">
        <f>IFERROR(__xludf.DUMMYFUNCTION("""COMPUTED_VALUE"""),"https://masterplan.com/courses/grundlagen-der-compliance")</f>
        <v>https://masterplan.com/courses/grundlagen-der-compliance</v>
      </c>
    </row>
    <row r="192">
      <c r="A192" s="6" t="str">
        <f>IFERROR(__xludf.DUMMYFUNCTION("""COMPUTED_VALUE"""),"Der Bandwagon-Effekt")</f>
        <v>Der Bandwagon-Effekt</v>
      </c>
      <c r="B192" s="7" t="str">
        <f>IFERROR(__xludf.DUMMYFUNCTION("""COMPUTED_VALUE"""),"The Bandwagon Effect")</f>
        <v>The Bandwagon Effect</v>
      </c>
      <c r="C192" s="8" t="str">
        <f>IFERROR(__xludf.DUMMYFUNCTION("""COMPUTED_VALUE"""),"Wusstest du, dass Wahlprognosen uns dahingehend beeinflussen, welcher Partei wir letzten Endes unsere Stimme geben? Umso wichtiger, dass du den Bandwagon-Effekt kennst; springst du auf den fahrenden Zug mit auf oder überdenkst du du lieber nochmal die Fah"&amp;"rtrichtigung?")</f>
        <v>Wusstest du, dass Wahlprognosen uns dahingehend beeinflussen, welcher Partei wir letzten Endes unsere Stimme geben? Umso wichtiger, dass du den Bandwagon-Effekt kennst; springst du auf den fahrenden Zug mit auf oder überdenkst du du lieber nochmal die Fahrtrichtigung?</v>
      </c>
      <c r="D192" s="8" t="str">
        <f>IFERROR(__xludf.DUMMYFUNCTION("""COMPUTED_VALUE"""),"Did you know that election forecasts can influence which party we ultimately vote for? All the more important that you know about the Bandwagon Effect; will you jump on the bandwagon or will you rather reconsider your direction of travel?")</f>
        <v>Did you know that election forecasts can influence which party we ultimately vote for? All the more important that you know about the Bandwagon Effect; will you jump on the bandwagon or will you rather reconsider your direction of travel?</v>
      </c>
      <c r="E192" s="28" t="str">
        <f>IFERROR(__xludf.DUMMYFUNCTION("""COMPUTED_VALUE"""),"Communication")</f>
        <v>Communication</v>
      </c>
      <c r="F192" s="10" t="str">
        <f>IFERROR(__xludf.DUMMYFUNCTION("""COMPUTED_VALUE"""),"Masterplan - Laura Graichen")</f>
        <v>Masterplan - Laura Graichen</v>
      </c>
      <c r="G192" s="11">
        <f>IFERROR(__xludf.DUMMYFUNCTION("""COMPUTED_VALUE"""),4.0)</f>
        <v>4</v>
      </c>
      <c r="H192" s="11">
        <f>IFERROR(__xludf.DUMMYFUNCTION("""COMPUTED_VALUE"""),3.0)</f>
        <v>3</v>
      </c>
      <c r="I192" s="12" t="str">
        <f>IFERROR(__xludf.DUMMYFUNCTION("""COMPUTED_VALUE"""),"English, German")</f>
        <v>English, German</v>
      </c>
      <c r="J192" s="12" t="str">
        <f>IFERROR(__xludf.DUMMYFUNCTION("""COMPUTED_VALUE"""),"German")</f>
        <v>German</v>
      </c>
      <c r="K192" s="13">
        <f>IFERROR(__xludf.DUMMYFUNCTION("""COMPUTED_VALUE"""),45035.0)</f>
        <v>45035</v>
      </c>
      <c r="L192" s="14" t="str">
        <f>IFERROR(__xludf.DUMMYFUNCTION("""COMPUTED_VALUE"""),"https://masterplan.com/courses/mp-shorts-der-bandwagon-effekt")</f>
        <v>https://masterplan.com/courses/mp-shorts-der-bandwagon-effekt</v>
      </c>
    </row>
    <row r="193">
      <c r="A193" s="15" t="str">
        <f>IFERROR(__xludf.DUMMYFUNCTION("""COMPUTED_VALUE"""),"Adobe Photoshop: Der ultimative Guide III")</f>
        <v>Adobe Photoshop: Der ultimative Guide III</v>
      </c>
      <c r="B193" s="16" t="str">
        <f>IFERROR(__xludf.DUMMYFUNCTION("""COMPUTED_VALUE"""),"The Essential Guide to Adobe Photoshop III")</f>
        <v>The Essential Guide to Adobe Photoshop III</v>
      </c>
      <c r="C193" s="17" t="str">
        <f>IFERROR(__xludf.DUMMYFUNCTION("""COMPUTED_VALUE"""),"Im letzten Schritt zur Beherrschung der Grundlagen von Photoshop erfährst du alles über Vektorwerkzeuge, Bibliothekszugriff, fortgeschrittene Spezialeffekte, Fotoretuschierung sowie den professionellen Einsatz der Mal- und Stiftwerkzeuge. Let's Photoshop!")</f>
        <v>Im letzten Schritt zur Beherrschung der Grundlagen von Photoshop erfährst du alles über Vektorwerkzeuge, Bibliothekszugriff, fortgeschrittene Spezialeffekte, Fotoretuschierung sowie den professionellen Einsatz der Mal- und Stiftwerkzeuge. Let's Photoshop!</v>
      </c>
      <c r="D193" s="17" t="str">
        <f>IFERROR(__xludf.DUMMYFUNCTION("""COMPUTED_VALUE"""),"In your final step to mastering the essentials of Photoshop, you'll learn about vector tools, accessing Libraries, advanced special effects, the steps to retouching photographs, plus how to use the Paint and Pen tools like a pro. Let's get photoshopping!")</f>
        <v>In your final step to mastering the essentials of Photoshop, you'll learn about vector tools, accessing Libraries, advanced special effects, the steps to retouching photographs, plus how to use the Paint and Pen tools like a pro. Let's get photoshopping!</v>
      </c>
      <c r="E193" s="27" t="str">
        <f>IFERROR(__xludf.DUMMYFUNCTION("""COMPUTED_VALUE"""),"Tools &amp; Tutorials")</f>
        <v>Tools &amp; Tutorials</v>
      </c>
      <c r="F193" s="19" t="str">
        <f>IFERROR(__xludf.DUMMYFUNCTION("""COMPUTED_VALUE"""),"Intellezy - Jim Searles")</f>
        <v>Intellezy - Jim Searles</v>
      </c>
      <c r="G193" s="20">
        <f>IFERROR(__xludf.DUMMYFUNCTION("""COMPUTED_VALUE"""),222.0)</f>
        <v>222</v>
      </c>
      <c r="H193" s="20">
        <f>IFERROR(__xludf.DUMMYFUNCTION("""COMPUTED_VALUE"""),78.0)</f>
        <v>78</v>
      </c>
      <c r="I193" s="21" t="str">
        <f>IFERROR(__xludf.DUMMYFUNCTION("""COMPUTED_VALUE"""),"English, German")</f>
        <v>English, German</v>
      </c>
      <c r="J193" s="21" t="str">
        <f>IFERROR(__xludf.DUMMYFUNCTION("""COMPUTED_VALUE"""),"English")</f>
        <v>English</v>
      </c>
      <c r="K193" s="22">
        <f>IFERROR(__xludf.DUMMYFUNCTION("""COMPUTED_VALUE"""),45034.0)</f>
        <v>45034</v>
      </c>
      <c r="L193" s="23" t="str">
        <f>IFERROR(__xludf.DUMMYFUNCTION("""COMPUTED_VALUE"""),"https://masterplan.com/courses/adobe-photoshop-der-ultimative-guide-iii")</f>
        <v>https://masterplan.com/courses/adobe-photoshop-der-ultimative-guide-iii</v>
      </c>
    </row>
    <row r="194">
      <c r="A194" s="6" t="str">
        <f>IFERROR(__xludf.DUMMYFUNCTION("""COMPUTED_VALUE"""),"Adobe InDesign: Der ultimative Guide II")</f>
        <v>Adobe InDesign: Der ultimative Guide II</v>
      </c>
      <c r="B194" s="7" t="str">
        <f>IFERROR(__xludf.DUMMYFUNCTION("""COMPUTED_VALUE"""),"The Essential Guide to Adobe InDesign II")</f>
        <v>The Essential Guide to Adobe InDesign II</v>
      </c>
      <c r="C194" s="8" t="str">
        <f>IFERROR(__xludf.DUMMYFUNCTION("""COMPUTED_VALUE"""),"Ob Poster, Newsletter oder interaktive PDF-Dateien - mit InDesign stehen dir alle Werkzeuge für dein Design-Projekt zur Verfügung. In unserem zweiten InDesign-Kurs erfährst du unter anderem, wie du Bilder einfügst, Grafiken erstellst und Effekte einfügst.")</f>
        <v>Ob Poster, Newsletter oder interaktive PDF-Dateien - mit InDesign stehen dir alle Werkzeuge für dein Design-Projekt zur Verfügung. In unserem zweiten InDesign-Kurs erfährst du unter anderem, wie du Bilder einfügst, Grafiken erstellst und Effekte einfügst.</v>
      </c>
      <c r="D194" s="8" t="str">
        <f>IFERROR(__xludf.DUMMYFUNCTION("""COMPUTED_VALUE"""),"Posters, newsletters, or interactive PDF files - with InDesign, you have all the tools you need to create your design project. In our second InDesign course, you will learn how to insert images, create graphics, and add effects.")</f>
        <v>Posters, newsletters, or interactive PDF files - with InDesign, you have all the tools you need to create your design project. In our second InDesign course, you will learn how to insert images, create graphics, and add effects.</v>
      </c>
      <c r="E194" s="27" t="str">
        <f>IFERROR(__xludf.DUMMYFUNCTION("""COMPUTED_VALUE"""),"Tools &amp; Tutorials")</f>
        <v>Tools &amp; Tutorials</v>
      </c>
      <c r="F194" s="10" t="str">
        <f>IFERROR(__xludf.DUMMYFUNCTION("""COMPUTED_VALUE"""),"Intellezy - Jim Searles")</f>
        <v>Intellezy - Jim Searles</v>
      </c>
      <c r="G194" s="11">
        <f>IFERROR(__xludf.DUMMYFUNCTION("""COMPUTED_VALUE"""),184.0)</f>
        <v>184</v>
      </c>
      <c r="H194" s="11">
        <f>IFERROR(__xludf.DUMMYFUNCTION("""COMPUTED_VALUE"""),64.0)</f>
        <v>64</v>
      </c>
      <c r="I194" s="12" t="str">
        <f>IFERROR(__xludf.DUMMYFUNCTION("""COMPUTED_VALUE"""),"English, German")</f>
        <v>English, German</v>
      </c>
      <c r="J194" s="12" t="str">
        <f>IFERROR(__xludf.DUMMYFUNCTION("""COMPUTED_VALUE"""),"English")</f>
        <v>English</v>
      </c>
      <c r="K194" s="13">
        <f>IFERROR(__xludf.DUMMYFUNCTION("""COMPUTED_VALUE"""),45030.0)</f>
        <v>45030</v>
      </c>
      <c r="L194" s="14" t="str">
        <f>IFERROR(__xludf.DUMMYFUNCTION("""COMPUTED_VALUE"""),"https://masterplan.com/courses/adobe-indesign-der-ultimative-guide-ii")</f>
        <v>https://masterplan.com/courses/adobe-indesign-der-ultimative-guide-ii</v>
      </c>
    </row>
    <row r="195">
      <c r="A195" s="15" t="str">
        <f>IFERROR(__xludf.DUMMYFUNCTION("""COMPUTED_VALUE"""),"Adobe Photoshop: Der ultimative Guide II")</f>
        <v>Adobe Photoshop: Der ultimative Guide II</v>
      </c>
      <c r="B195" s="16" t="str">
        <f>IFERROR(__xludf.DUMMYFUNCTION("""COMPUTED_VALUE"""),"The Essential Guide to Adobe Photoshop II")</f>
        <v>The Essential Guide to Adobe Photoshop II</v>
      </c>
      <c r="C195" s="17" t="str">
        <f>IFERROR(__xludf.DUMMYFUNCTION("""COMPUTED_VALUE"""),"Bist du bereit, deine Photoshop-Skills auf das nächste Level zu heben? Dieser Kurs führt dich in fortgeschrittene Techniken ein, wie die Verwendung von Ebenen, Mustern und Filtern für beeindruckende visuelle Effekte, und wie man Text in Bilder einfügt und"&amp;" bearbeitet.")</f>
        <v>Bist du bereit, deine Photoshop-Skills auf das nächste Level zu heben? Dieser Kurs führt dich in fortgeschrittene Techniken ein, wie die Verwendung von Ebenen, Mustern und Filtern für beeindruckende visuelle Effekte, und wie man Text in Bilder einfügt und bearbeitet.</v>
      </c>
      <c r="D195" s="17" t="str">
        <f>IFERROR(__xludf.DUMMYFUNCTION("""COMPUTED_VALUE"""),"Now that we've covered the basic tools and settings in Photoshop, you're ready to step up your Photoshopping! In this course, you'll learn more about using Layers, Patterns, and Filters for advanced visual effects, plus how to insert and work with text in"&amp;" your image.")</f>
        <v>Now that we've covered the basic tools and settings in Photoshop, you're ready to step up your Photoshopping! In this course, you'll learn more about using Layers, Patterns, and Filters for advanced visual effects, plus how to insert and work with text in your image.</v>
      </c>
      <c r="E195" s="27" t="str">
        <f>IFERROR(__xludf.DUMMYFUNCTION("""COMPUTED_VALUE"""),"Tools &amp; Tutorials")</f>
        <v>Tools &amp; Tutorials</v>
      </c>
      <c r="F195" s="19" t="str">
        <f>IFERROR(__xludf.DUMMYFUNCTION("""COMPUTED_VALUE"""),"Intellezy - Jim Searles")</f>
        <v>Intellezy - Jim Searles</v>
      </c>
      <c r="G195" s="20">
        <f>IFERROR(__xludf.DUMMYFUNCTION("""COMPUTED_VALUE"""),146.0)</f>
        <v>146</v>
      </c>
      <c r="H195" s="20">
        <f>IFERROR(__xludf.DUMMYFUNCTION("""COMPUTED_VALUE"""),51.0)</f>
        <v>51</v>
      </c>
      <c r="I195" s="21" t="str">
        <f>IFERROR(__xludf.DUMMYFUNCTION("""COMPUTED_VALUE"""),"English, German")</f>
        <v>English, German</v>
      </c>
      <c r="J195" s="21" t="str">
        <f>IFERROR(__xludf.DUMMYFUNCTION("""COMPUTED_VALUE"""),"English")</f>
        <v>English</v>
      </c>
      <c r="K195" s="22">
        <f>IFERROR(__xludf.DUMMYFUNCTION("""COMPUTED_VALUE"""),45030.0)</f>
        <v>45030</v>
      </c>
      <c r="L195" s="23" t="str">
        <f>IFERROR(__xludf.DUMMYFUNCTION("""COMPUTED_VALUE"""),"https://masterplan.com/courses/adobe-photoshop-der-ultimative-guide-ii")</f>
        <v>https://masterplan.com/courses/adobe-photoshop-der-ultimative-guide-ii</v>
      </c>
    </row>
    <row r="196">
      <c r="A196" s="6" t="str">
        <f>IFERROR(__xludf.DUMMYFUNCTION("""COMPUTED_VALUE"""),"Die Loci-Methode")</f>
        <v>Die Loci-Methode</v>
      </c>
      <c r="B196" s="7" t="str">
        <f>IFERROR(__xludf.DUMMYFUNCTION("""COMPUTED_VALUE"""),"The Loci Method")</f>
        <v>The Loci Method</v>
      </c>
      <c r="C196" s="8" t="str">
        <f>IFERROR(__xludf.DUMMYFUNCTION("""COMPUTED_VALUE"""),"Erinnerst du dich an den Blockbuster “Ohne Limit”? Bradley Cooper erhält eine Wunderpille, die unter anderem sein Erinnerungsvermögen um ein Vielfaches steigert. Tja, allerdings braucht es dafür gar keine Pille, lediglich ein Geheimrezept aus dem alten Ro"&amp;"m!")</f>
        <v>Erinnerst du dich an den Blockbuster “Ohne Limit”? Bradley Cooper erhält eine Wunderpille, die unter anderem sein Erinnerungsvermögen um ein Vielfaches steigert. Tja, allerdings braucht es dafür gar keine Pille, lediglich ein Geheimrezept aus dem alten Rom!</v>
      </c>
      <c r="D196" s="8" t="str">
        <f>IFERROR(__xludf.DUMMYFUNCTION("""COMPUTED_VALUE"""),"Remember the blockbuster ""Limitless""? Bradley Cooper receives a miracle pill that, among other things, radically improves his memory. Well, you don't need a pill for that, just a secret recipe from ancient Rome!")</f>
        <v>Remember the blockbuster "Limitless"? Bradley Cooper receives a miracle pill that, among other things, radically improves his memory. Well, you don't need a pill for that, just a secret recipe from ancient Rome!</v>
      </c>
      <c r="E196" s="24" t="str">
        <f>IFERROR(__xludf.DUMMYFUNCTION("""COMPUTED_VALUE"""),"Emotional Intelligence")</f>
        <v>Emotional Intelligence</v>
      </c>
      <c r="F196" s="10" t="str">
        <f>IFERROR(__xludf.DUMMYFUNCTION("""COMPUTED_VALUE"""),"Masterplan - Kolja Wohlleben")</f>
        <v>Masterplan - Kolja Wohlleben</v>
      </c>
      <c r="G196" s="11">
        <f>IFERROR(__xludf.DUMMYFUNCTION("""COMPUTED_VALUE"""),4.0)</f>
        <v>4</v>
      </c>
      <c r="H196" s="11">
        <f>IFERROR(__xludf.DUMMYFUNCTION("""COMPUTED_VALUE"""),3.0)</f>
        <v>3</v>
      </c>
      <c r="I196" s="12" t="str">
        <f>IFERROR(__xludf.DUMMYFUNCTION("""COMPUTED_VALUE"""),"English, German")</f>
        <v>English, German</v>
      </c>
      <c r="J196" s="12" t="str">
        <f>IFERROR(__xludf.DUMMYFUNCTION("""COMPUTED_VALUE"""),"German")</f>
        <v>German</v>
      </c>
      <c r="K196" s="13">
        <f>IFERROR(__xludf.DUMMYFUNCTION("""COMPUTED_VALUE"""),45021.0)</f>
        <v>45021</v>
      </c>
      <c r="L196" s="14" t="str">
        <f>IFERROR(__xludf.DUMMYFUNCTION("""COMPUTED_VALUE"""),"https://masterplan.com/courses/mp-shorts-die-loci-methode")</f>
        <v>https://masterplan.com/courses/mp-shorts-die-loci-methode</v>
      </c>
    </row>
    <row r="197">
      <c r="A197" s="15" t="str">
        <f>IFERROR(__xludf.DUMMYFUNCTION("""COMPUTED_VALUE"""),"Kognitive Belastung")</f>
        <v>Kognitive Belastung</v>
      </c>
      <c r="B197" s="16" t="str">
        <f>IFERROR(__xludf.DUMMYFUNCTION("""COMPUTED_VALUE"""),"Cognitive Load Theory")</f>
        <v>Cognitive Load Theory</v>
      </c>
      <c r="C197" s="17" t="str">
        <f>IFERROR(__xludf.DUMMYFUNCTION("""COMPUTED_VALUE"""),"Deine Muskeln und dein Gehirn haben einiges gemeinsam; bei zu viel Anstrengung machen beide dicht! Während Muskeln bei Belastung allerdings immer leistungsfähiger werden, verliert das Gehirn bei Belastung an Leistung. Lernbezogene Belastung ist daher das "&amp;"Stichwort!")</f>
        <v>Deine Muskeln und dein Gehirn haben einiges gemeinsam; bei zu viel Anstrengung machen beide dicht! Während Muskeln bei Belastung allerdings immer leistungsfähiger werden, verliert das Gehirn bei Belastung an Leistung. Lernbezogene Belastung ist daher das Stichwort!</v>
      </c>
      <c r="D197" s="17" t="str">
        <f>IFERROR(__xludf.DUMMYFUNCTION("""COMPUTED_VALUE"""),"Your muscles and your brain have a lot in common; they both shut down under too much strain! However, while muscles become more powerful under stress, the brain loses power when it is loaded. A learning-related load is therefore key!")</f>
        <v>Your muscles and your brain have a lot in common; they both shut down under too much strain! However, while muscles become more powerful under stress, the brain loses power when it is loaded. A learning-related load is therefore key!</v>
      </c>
      <c r="E197" s="24" t="str">
        <f>IFERROR(__xludf.DUMMYFUNCTION("""COMPUTED_VALUE"""),"Emotional Intelligence")</f>
        <v>Emotional Intelligence</v>
      </c>
      <c r="F197" s="19" t="str">
        <f>IFERROR(__xludf.DUMMYFUNCTION("""COMPUTED_VALUE"""),"Masterplan - Kolja Wohlleben")</f>
        <v>Masterplan - Kolja Wohlleben</v>
      </c>
      <c r="G197" s="20">
        <f>IFERROR(__xludf.DUMMYFUNCTION("""COMPUTED_VALUE"""),4.0)</f>
        <v>4</v>
      </c>
      <c r="H197" s="20">
        <f>IFERROR(__xludf.DUMMYFUNCTION("""COMPUTED_VALUE"""),3.0)</f>
        <v>3</v>
      </c>
      <c r="I197" s="21" t="str">
        <f>IFERROR(__xludf.DUMMYFUNCTION("""COMPUTED_VALUE"""),"English, German")</f>
        <v>English, German</v>
      </c>
      <c r="J197" s="21" t="str">
        <f>IFERROR(__xludf.DUMMYFUNCTION("""COMPUTED_VALUE"""),"German")</f>
        <v>German</v>
      </c>
      <c r="K197" s="22">
        <f>IFERROR(__xludf.DUMMYFUNCTION("""COMPUTED_VALUE"""),45021.0)</f>
        <v>45021</v>
      </c>
      <c r="L197" s="23" t="str">
        <f>IFERROR(__xludf.DUMMYFUNCTION("""COMPUTED_VALUE"""),"https://masterplan.com/courses/mp-shorts-kognitive-belastung")</f>
        <v>https://masterplan.com/courses/mp-shorts-kognitive-belastung</v>
      </c>
    </row>
    <row r="198">
      <c r="A198" s="6" t="str">
        <f>IFERROR(__xludf.DUMMYFUNCTION("""COMPUTED_VALUE"""),"Levels of Processing")</f>
        <v>Levels of Processing</v>
      </c>
      <c r="B198" s="7" t="str">
        <f>IFERROR(__xludf.DUMMYFUNCTION("""COMPUTED_VALUE"""),"Levels of Processing")</f>
        <v>Levels of Processing</v>
      </c>
      <c r="C198" s="8" t="str">
        <f>IFERROR(__xludf.DUMMYFUNCTION("""COMPUTED_VALUE"""),"Trick 17, um sich Informationen schnell und vor allem langfristig einzuprägen? Die gute alte Eselsbrücke! Mit ihr macht Lernen erstens mehr Spaß, zweitens hilft sie dir dabei, Informationen semantisch zu verarbeiten... Noch mehr Brain Hacks gibt's in dies"&amp;"em Short!")</f>
        <v>Trick 17, um sich Informationen schnell und vor allem langfristig einzuprägen? Die gute alte Eselsbrücke! Mit ihr macht Lernen erstens mehr Spaß, zweitens hilft sie dir dabei, Informationen semantisch zu verarbeiten... Noch mehr Brain Hacks gibt's in diesem Short!</v>
      </c>
      <c r="D198" s="8" t="str">
        <f>IFERROR(__xludf.DUMMYFUNCTION("""COMPUTED_VALUE"""),"Want to know a lifehack to memorize information quickly and, above all, in the long term? Use the good old mnemonic! First of all, it makes learning more fun, and secondly, it helps you to process information semantically... Check out this short for more "&amp;"brain hacks!")</f>
        <v>Want to know a lifehack to memorize information quickly and, above all, in the long term? Use the good old mnemonic! First of all, it makes learning more fun, and secondly, it helps you to process information semantically... Check out this short for more brain hacks!</v>
      </c>
      <c r="E198" s="29" t="str">
        <f>IFERROR(__xludf.DUMMYFUNCTION("""COMPUTED_VALUE"""),"Thinking and Deciding Clearly")</f>
        <v>Thinking and Deciding Clearly</v>
      </c>
      <c r="F198" s="10" t="str">
        <f>IFERROR(__xludf.DUMMYFUNCTION("""COMPUTED_VALUE"""),"Masterplan - Kolja Wohlleben")</f>
        <v>Masterplan - Kolja Wohlleben</v>
      </c>
      <c r="G198" s="11">
        <f>IFERROR(__xludf.DUMMYFUNCTION("""COMPUTED_VALUE"""),4.0)</f>
        <v>4</v>
      </c>
      <c r="H198" s="11">
        <f>IFERROR(__xludf.DUMMYFUNCTION("""COMPUTED_VALUE"""),3.0)</f>
        <v>3</v>
      </c>
      <c r="I198" s="12" t="str">
        <f>IFERROR(__xludf.DUMMYFUNCTION("""COMPUTED_VALUE"""),"English, German")</f>
        <v>English, German</v>
      </c>
      <c r="J198" s="12" t="str">
        <f>IFERROR(__xludf.DUMMYFUNCTION("""COMPUTED_VALUE"""),"German")</f>
        <v>German</v>
      </c>
      <c r="K198" s="13">
        <f>IFERROR(__xludf.DUMMYFUNCTION("""COMPUTED_VALUE"""),45021.0)</f>
        <v>45021</v>
      </c>
      <c r="L198" s="14" t="str">
        <f>IFERROR(__xludf.DUMMYFUNCTION("""COMPUTED_VALUE"""),"https://masterplan.com/courses/mp-shorts-levels-of-processing")</f>
        <v>https://masterplan.com/courses/mp-shorts-levels-of-processing</v>
      </c>
    </row>
    <row r="199">
      <c r="A199" s="15" t="str">
        <f>IFERROR(__xludf.DUMMYFUNCTION("""COMPUTED_VALUE"""),"Adobe Illustrator: Der ultimative Guide I")</f>
        <v>Adobe Illustrator: Der ultimative Guide I</v>
      </c>
      <c r="B199" s="16" t="str">
        <f>IFERROR(__xludf.DUMMYFUNCTION("""COMPUTED_VALUE"""),"The Essential Guide to Adobe Illustrator I")</f>
        <v>The Essential Guide to Adobe Illustrator I</v>
      </c>
      <c r="C199" s="17" t="str">
        <f>IFERROR(__xludf.DUMMYFUNCTION("""COMPUTED_VALUE"""),"Lust, digitale Illustrationen zu erstellen? Deine Möglichkeiten sind endlos, sobald du die Grundlagen von Adobe Illustrator kennst! Nach diesem Kurs wirst du in der Lage sein, digitale Kunst auf professionellem Niveau zu erstellen.")</f>
        <v>Lust, digitale Illustrationen zu erstellen? Deine Möglichkeiten sind endlos, sobald du die Grundlagen von Adobe Illustrator kennst! Nach diesem Kurs wirst du in der Lage sein, digitale Kunst auf professionellem Niveau zu erstellen.</v>
      </c>
      <c r="D199" s="17" t="str">
        <f>IFERROR(__xludf.DUMMYFUNCTION("""COMPUTED_VALUE"""),"What if you could create your own digital illustrations from scratch? Once you learn the basics of Adobe Illustrator, the possibilities are endless! After this course, you'll be able to use shapes, colors, and gradients to create professional-level digita"&amp;"l art.")</f>
        <v>What if you could create your own digital illustrations from scratch? Once you learn the basics of Adobe Illustrator, the possibilities are endless! After this course, you'll be able to use shapes, colors, and gradients to create professional-level digital art.</v>
      </c>
      <c r="E199" s="27" t="str">
        <f>IFERROR(__xludf.DUMMYFUNCTION("""COMPUTED_VALUE"""),"Tools &amp; Tutorials")</f>
        <v>Tools &amp; Tutorials</v>
      </c>
      <c r="F199" s="19" t="str">
        <f>IFERROR(__xludf.DUMMYFUNCTION("""COMPUTED_VALUE"""),"Intellezy - Jim Searles")</f>
        <v>Intellezy - Jim Searles</v>
      </c>
      <c r="G199" s="20">
        <f>IFERROR(__xludf.DUMMYFUNCTION("""COMPUTED_VALUE"""),243.0)</f>
        <v>243</v>
      </c>
      <c r="H199" s="20">
        <f>IFERROR(__xludf.DUMMYFUNCTION("""COMPUTED_VALUE"""),63.0)</f>
        <v>63</v>
      </c>
      <c r="I199" s="21" t="str">
        <f>IFERROR(__xludf.DUMMYFUNCTION("""COMPUTED_VALUE"""),"English, German")</f>
        <v>English, German</v>
      </c>
      <c r="J199" s="21" t="str">
        <f>IFERROR(__xludf.DUMMYFUNCTION("""COMPUTED_VALUE"""),"English")</f>
        <v>English</v>
      </c>
      <c r="K199" s="22">
        <f>IFERROR(__xludf.DUMMYFUNCTION("""COMPUTED_VALUE"""),45016.0)</f>
        <v>45016</v>
      </c>
      <c r="L199" s="23" t="str">
        <f>IFERROR(__xludf.DUMMYFUNCTION("""COMPUTED_VALUE"""),"https://masterplan.com/courses/adobe-illustrator-der-ultimative-guide-i")</f>
        <v>https://masterplan.com/courses/adobe-illustrator-der-ultimative-guide-i</v>
      </c>
    </row>
    <row r="200">
      <c r="A200" s="6" t="str">
        <f>IFERROR(__xludf.DUMMYFUNCTION("""COMPUTED_VALUE"""),"Adobe InDesign: Der ultimative Guide I")</f>
        <v>Adobe InDesign: Der ultimative Guide I</v>
      </c>
      <c r="B200" s="7" t="str">
        <f>IFERROR(__xludf.DUMMYFUNCTION("""COMPUTED_VALUE"""),"The Essential Guide to Adobe InDesign I")</f>
        <v>The Essential Guide to Adobe InDesign I</v>
      </c>
      <c r="C200" s="8" t="str">
        <f>IFERROR(__xludf.DUMMYFUNCTION("""COMPUTED_VALUE"""),"Adobe InDesign ist ein nützliches Werkzeug für alle Designer:innen oder Verleger:innen, die beeindruckende Layouts für Print und Online erstellen möchten. Werde kreativ und lerne, wie du komplexe Dokumente schnell und präzise erstellen und bearbeiten kann"&amp;"st!")</f>
        <v>Adobe InDesign ist ein nützliches Werkzeug für alle Designer:innen oder Verleger:innen, die beeindruckende Layouts für Print und Online erstellen möchten. Werde kreativ und lerne, wie du komplexe Dokumente schnell und präzise erstellen und bearbeiten kannst!</v>
      </c>
      <c r="D200" s="8" t="str">
        <f>IFERROR(__xludf.DUMMYFUNCTION("""COMPUTED_VALUE"""),"Adobe InDesign is a useful tool for any designer or publisher who wants to create stunning layouts, either on the web or in print. Get creative and learn how to create and edit complex documents with precision, accuracy, and speed! ")</f>
        <v>Adobe InDesign is a useful tool for any designer or publisher who wants to create stunning layouts, either on the web or in print. Get creative and learn how to create and edit complex documents with precision, accuracy, and speed! </v>
      </c>
      <c r="E200" s="27" t="str">
        <f>IFERROR(__xludf.DUMMYFUNCTION("""COMPUTED_VALUE"""),"Tools &amp; Tutorials")</f>
        <v>Tools &amp; Tutorials</v>
      </c>
      <c r="F200" s="10" t="str">
        <f>IFERROR(__xludf.DUMMYFUNCTION("""COMPUTED_VALUE"""),"Intellezy - Jim Searles")</f>
        <v>Intellezy - Jim Searles</v>
      </c>
      <c r="G200" s="11">
        <f>IFERROR(__xludf.DUMMYFUNCTION("""COMPUTED_VALUE"""),204.0)</f>
        <v>204</v>
      </c>
      <c r="H200" s="11">
        <f>IFERROR(__xludf.DUMMYFUNCTION("""COMPUTED_VALUE"""),73.0)</f>
        <v>73</v>
      </c>
      <c r="I200" s="12" t="str">
        <f>IFERROR(__xludf.DUMMYFUNCTION("""COMPUTED_VALUE"""),"English, German")</f>
        <v>English, German</v>
      </c>
      <c r="J200" s="12" t="str">
        <f>IFERROR(__xludf.DUMMYFUNCTION("""COMPUTED_VALUE"""),"English")</f>
        <v>English</v>
      </c>
      <c r="K200" s="13">
        <f>IFERROR(__xludf.DUMMYFUNCTION("""COMPUTED_VALUE"""),45016.0)</f>
        <v>45016</v>
      </c>
      <c r="L200" s="14" t="str">
        <f>IFERROR(__xludf.DUMMYFUNCTION("""COMPUTED_VALUE"""),"https://masterplan.com/courses/adobe-indesign-der-ultimative-guide-i")</f>
        <v>https://masterplan.com/courses/adobe-indesign-der-ultimative-guide-i</v>
      </c>
    </row>
    <row r="201">
      <c r="A201" s="15" t="str">
        <f>IFERROR(__xludf.DUMMYFUNCTION("""COMPUTED_VALUE"""),"Adobe Photoshop: Der ultimative Guide I")</f>
        <v>Adobe Photoshop: Der ultimative Guide I</v>
      </c>
      <c r="B201" s="16" t="str">
        <f>IFERROR(__xludf.DUMMYFUNCTION("""COMPUTED_VALUE"""),"The Essential Guide to Adobe Photoshop I")</f>
        <v>The Essential Guide to Adobe Photoshop I</v>
      </c>
      <c r="C201" s="17" t="str">
        <f>IFERROR(__xludf.DUMMYFUNCTION("""COMPUTED_VALUE"""),"Photoshop - das Programm, das so beliebt ist, dass es zum Verb wurde. Was würdest du alles machen, wenn du wüsstest, wie man Photoshop verwendet? Von der Startseite bis hin zu mehreren Ebenen in einem Bild - dieser Kurs ist der erste Schritt auf deinem We"&amp;"g.")</f>
        <v>Photoshop - das Programm, das so beliebt ist, dass es zum Verb wurde. Was würdest du alles machen, wenn du wüsstest, wie man Photoshop verwendet? Von der Startseite bis hin zu mehreren Ebenen in einem Bild - dieser Kurs ist der erste Schritt auf deinem Weg.</v>
      </c>
      <c r="D201" s="17" t="str">
        <f>IFERROR(__xludf.DUMMYFUNCTION("""COMPUTED_VALUE"""),"Photoshop– the program so popular, it became its own verb. What could you do if you knew how to photoshop? Starting with the Start Page and ending with working with multiple layers in your image, this course is your first step to learning Photoshop. ")</f>
        <v>Photoshop– the program so popular, it became its own verb. What could you do if you knew how to photoshop? Starting with the Start Page and ending with working with multiple layers in your image, this course is your first step to learning Photoshop. </v>
      </c>
      <c r="E201" s="27" t="str">
        <f>IFERROR(__xludf.DUMMYFUNCTION("""COMPUTED_VALUE"""),"Tools &amp; Tutorials")</f>
        <v>Tools &amp; Tutorials</v>
      </c>
      <c r="F201" s="19" t="str">
        <f>IFERROR(__xludf.DUMMYFUNCTION("""COMPUTED_VALUE"""),"Intellezy - Jim Searles")</f>
        <v>Intellezy - Jim Searles</v>
      </c>
      <c r="G201" s="20">
        <f>IFERROR(__xludf.DUMMYFUNCTION("""COMPUTED_VALUE"""),205.0)</f>
        <v>205</v>
      </c>
      <c r="H201" s="20">
        <f>IFERROR(__xludf.DUMMYFUNCTION("""COMPUTED_VALUE"""),68.0)</f>
        <v>68</v>
      </c>
      <c r="I201" s="21" t="str">
        <f>IFERROR(__xludf.DUMMYFUNCTION("""COMPUTED_VALUE"""),"English, German")</f>
        <v>English, German</v>
      </c>
      <c r="J201" s="21" t="str">
        <f>IFERROR(__xludf.DUMMYFUNCTION("""COMPUTED_VALUE"""),"English")</f>
        <v>English</v>
      </c>
      <c r="K201" s="22">
        <f>IFERROR(__xludf.DUMMYFUNCTION("""COMPUTED_VALUE"""),45007.0)</f>
        <v>45007</v>
      </c>
      <c r="L201" s="23" t="str">
        <f>IFERROR(__xludf.DUMMYFUNCTION("""COMPUTED_VALUE"""),"https://masterplan.com/courses/adobe-photoshop-der-ultimative-guide-i")</f>
        <v>https://masterplan.com/courses/adobe-photoshop-der-ultimative-guide-i</v>
      </c>
    </row>
    <row r="202">
      <c r="A202" s="6" t="str">
        <f>IFERROR(__xludf.DUMMYFUNCTION("""COMPUTED_VALUE"""),"Klar Denken und Entscheiden: Funktionale Fixierung")</f>
        <v>Klar Denken und Entscheiden: Funktionale Fixierung</v>
      </c>
      <c r="B202" s="7" t="str">
        <f>IFERROR(__xludf.DUMMYFUNCTION("""COMPUTED_VALUE"""),"Clear Thinking: Functional Fixedness")</f>
        <v>Clear Thinking: Functional Fixedness</v>
      </c>
      <c r="C202" s="8" t="str">
        <f>IFERROR(__xludf.DUMMYFUNCTION("""COMPUTED_VALUE"""),"Bringe eine Kerze mit Hilfe einer Schachtel Reißzwecken und einer Streichholzschatel an die Wand an! Klingt relativ einfach, oder? In einem von Karl Duncker durchgeführten Experiment scheiterten allerdings 85% seiner Proband:innen an der Aufgabe!  ")</f>
        <v>Bringe eine Kerze mit Hilfe einer Schachtel Reißzwecken und einer Streichholzschatel an die Wand an! Klingt relativ einfach, oder? In einem von Karl Duncker durchgeführten Experiment scheiterten allerdings 85% seiner Proband:innen an der Aufgabe!  </v>
      </c>
      <c r="D202" s="8" t="str">
        <f>IFERROR(__xludf.DUMMYFUNCTION("""COMPUTED_VALUE"""),"Attach a candle to the wall using a box of tacks and a matchstick! Sounds relatively simple, doesn't it? Well, in an experiment conducted by Karl Duncker, 85% of his test subjects failed the task!")</f>
        <v>Attach a candle to the wall using a box of tacks and a matchstick! Sounds relatively simple, doesn't it? Well, in an experiment conducted by Karl Duncker, 85% of his test subjects failed the task!</v>
      </c>
      <c r="E202" s="29" t="str">
        <f>IFERROR(__xludf.DUMMYFUNCTION("""COMPUTED_VALUE"""),"Thinking and Deciding Clearly")</f>
        <v>Thinking and Deciding Clearly</v>
      </c>
      <c r="F202" s="10" t="str">
        <f>IFERROR(__xludf.DUMMYFUNCTION("""COMPUTED_VALUE"""),"Masterplan - Matthew Wood")</f>
        <v>Masterplan - Matthew Wood</v>
      </c>
      <c r="G202" s="11">
        <f>IFERROR(__xludf.DUMMYFUNCTION("""COMPUTED_VALUE"""),4.0)</f>
        <v>4</v>
      </c>
      <c r="H202" s="11">
        <f>IFERROR(__xludf.DUMMYFUNCTION("""COMPUTED_VALUE"""),3.0)</f>
        <v>3</v>
      </c>
      <c r="I202" s="12" t="str">
        <f>IFERROR(__xludf.DUMMYFUNCTION("""COMPUTED_VALUE"""),"English, German")</f>
        <v>English, German</v>
      </c>
      <c r="J202" s="12" t="str">
        <f>IFERROR(__xludf.DUMMYFUNCTION("""COMPUTED_VALUE"""),"German")</f>
        <v>German</v>
      </c>
      <c r="K202" s="13">
        <f>IFERROR(__xludf.DUMMYFUNCTION("""COMPUTED_VALUE"""),45000.0)</f>
        <v>45000</v>
      </c>
      <c r="L202" s="14" t="str">
        <f>IFERROR(__xludf.DUMMYFUNCTION("""COMPUTED_VALUE"""),"https://masterplan.com/courses/mp-shorts-funktionale-fixierung")</f>
        <v>https://masterplan.com/courses/mp-shorts-funktionale-fixierung</v>
      </c>
    </row>
    <row r="203">
      <c r="A203" s="15" t="str">
        <f>IFERROR(__xludf.DUMMYFUNCTION("""COMPUTED_VALUE"""),"Die Entscheidungsmüdigkeit")</f>
        <v>Die Entscheidungsmüdigkeit</v>
      </c>
      <c r="B203" s="16" t="str">
        <f>IFERROR(__xludf.DUMMYFUNCTION("""COMPUTED_VALUE"""),"Clear Thinking: Decision Fatigue")</f>
        <v>Clear Thinking: Decision Fatigue</v>
      </c>
      <c r="C203" s="17" t="str">
        <f>IFERROR(__xludf.DUMMYFUNCTION("""COMPUTED_VALUE"""),"""Ich will mich nicht entscheiden, was ich anziehe oder esse, weil ich zu viele andere Entscheidungen treffen muss"", sagte einst Barack Obama auf die Frage, warum er nur graue oder blaue Anzüge tragen würde. Klingt erstmal langweilig, ist tatsächlich abe"&amp;"r richtig smart!")</f>
        <v>"Ich will mich nicht entscheiden, was ich anziehe oder esse, weil ich zu viele andere Entscheidungen treffen muss", sagte einst Barack Obama auf die Frage, warum er nur graue oder blaue Anzüge tragen würde. Klingt erstmal langweilig, ist tatsächlich aber richtig smart!</v>
      </c>
      <c r="D203" s="17" t="str">
        <f>IFERROR(__xludf.DUMMYFUNCTION("""COMPUTED_VALUE"""),"""I don't want to decide what to wear or eat because I have too many other decisions to make,"" Barack Obama once said when asked why he would only wear gray or blue suits. Sounds boring at first, but it's actually pretty clever.")</f>
        <v>"I don't want to decide what to wear or eat because I have too many other decisions to make," Barack Obama once said when asked why he would only wear gray or blue suits. Sounds boring at first, but it's actually pretty clever.</v>
      </c>
      <c r="E203" s="29" t="str">
        <f>IFERROR(__xludf.DUMMYFUNCTION("""COMPUTED_VALUE"""),"Thinking and Deciding Clearly")</f>
        <v>Thinking and Deciding Clearly</v>
      </c>
      <c r="F203" s="19" t="str">
        <f>IFERROR(__xludf.DUMMYFUNCTION("""COMPUTED_VALUE"""),"Masterplan - Matthew Wood")</f>
        <v>Masterplan - Matthew Wood</v>
      </c>
      <c r="G203" s="20">
        <f>IFERROR(__xludf.DUMMYFUNCTION("""COMPUTED_VALUE"""),3.0)</f>
        <v>3</v>
      </c>
      <c r="H203" s="20">
        <f>IFERROR(__xludf.DUMMYFUNCTION("""COMPUTED_VALUE"""),3.0)</f>
        <v>3</v>
      </c>
      <c r="I203" s="21" t="str">
        <f>IFERROR(__xludf.DUMMYFUNCTION("""COMPUTED_VALUE"""),"English, German")</f>
        <v>English, German</v>
      </c>
      <c r="J203" s="21" t="str">
        <f>IFERROR(__xludf.DUMMYFUNCTION("""COMPUTED_VALUE"""),"German")</f>
        <v>German</v>
      </c>
      <c r="K203" s="22">
        <f>IFERROR(__xludf.DUMMYFUNCTION("""COMPUTED_VALUE"""),45000.0)</f>
        <v>45000</v>
      </c>
      <c r="L203" s="23" t="str">
        <f>IFERROR(__xludf.DUMMYFUNCTION("""COMPUTED_VALUE"""),"https://masterplan.com/courses/mp-shorts-die-entscheidungsmuedigkeit")</f>
        <v>https://masterplan.com/courses/mp-shorts-die-entscheidungsmuedigkeit</v>
      </c>
    </row>
    <row r="204">
      <c r="A204" s="6" t="str">
        <f>IFERROR(__xludf.DUMMYFUNCTION("""COMPUTED_VALUE"""),"Salomon's Paradox")</f>
        <v>Salomon's Paradox</v>
      </c>
      <c r="B204" s="7" t="str">
        <f>IFERROR(__xludf.DUMMYFUNCTION("""COMPUTED_VALUE"""),"Clear Thinking: Solomon's Paradox")</f>
        <v>Clear Thinking: Solomon's Paradox</v>
      </c>
      <c r="C204" s="8" t="str">
        <f>IFERROR(__xludf.DUMMYFUNCTION("""COMPUTED_VALUE"""),"Es war einmal vor langer, langer Zeit ein König. Bei seinen Untertanten war er für seine überaus weisen Ratschläge bekannt. Merkwürdigerweise traf der König für sich selbst allerdings nicht immer die klügsten Entscheidungen. Ein Paradoxon, aus dem du viel"&amp;" lernen kannst!")</f>
        <v>Es war einmal vor langer, langer Zeit ein König. Bei seinen Untertanten war er für seine überaus weisen Ratschläge bekannt. Merkwürdigerweise traf der König für sich selbst allerdings nicht immer die klügsten Entscheidungen. Ein Paradoxon, aus dem du viel lernen kannst!</v>
      </c>
      <c r="D204" s="8" t="str">
        <f>IFERROR(__xludf.DUMMYFUNCTION("""COMPUTED_VALUE"""),"Once upon a time there was a king who was famous for giving extraordinarily good advice. He was however not the best at making wise decisions for himself. This is a paradox we can learn a lot from. ")</f>
        <v>Once upon a time there was a king who was famous for giving extraordinarily good advice. He was however not the best at making wise decisions for himself. This is a paradox we can learn a lot from. </v>
      </c>
      <c r="E204" s="29" t="str">
        <f>IFERROR(__xludf.DUMMYFUNCTION("""COMPUTED_VALUE"""),"Thinking and Deciding Clearly")</f>
        <v>Thinking and Deciding Clearly</v>
      </c>
      <c r="F204" s="10" t="str">
        <f>IFERROR(__xludf.DUMMYFUNCTION("""COMPUTED_VALUE"""),"Masterplan - Matthew Wood")</f>
        <v>Masterplan - Matthew Wood</v>
      </c>
      <c r="G204" s="11">
        <f>IFERROR(__xludf.DUMMYFUNCTION("""COMPUTED_VALUE"""),3.0)</f>
        <v>3</v>
      </c>
      <c r="H204" s="11">
        <f>IFERROR(__xludf.DUMMYFUNCTION("""COMPUTED_VALUE"""),3.0)</f>
        <v>3</v>
      </c>
      <c r="I204" s="12" t="str">
        <f>IFERROR(__xludf.DUMMYFUNCTION("""COMPUTED_VALUE"""),"English, German")</f>
        <v>English, German</v>
      </c>
      <c r="J204" s="12" t="str">
        <f>IFERROR(__xludf.DUMMYFUNCTION("""COMPUTED_VALUE"""),"German")</f>
        <v>German</v>
      </c>
      <c r="K204" s="13">
        <f>IFERROR(__xludf.DUMMYFUNCTION("""COMPUTED_VALUE"""),45000.0)</f>
        <v>45000</v>
      </c>
      <c r="L204" s="14" t="str">
        <f>IFERROR(__xludf.DUMMYFUNCTION("""COMPUTED_VALUE"""),"https://masterplan.com/courses/mp-shorts-salomons-paradox")</f>
        <v>https://masterplan.com/courses/mp-shorts-salomons-paradox</v>
      </c>
    </row>
    <row r="205">
      <c r="A205" s="15" t="str">
        <f>IFERROR(__xludf.DUMMYFUNCTION("""COMPUTED_VALUE"""),"Permission Structure")</f>
        <v>Permission Structure</v>
      </c>
      <c r="B205" s="16" t="str">
        <f>IFERROR(__xludf.DUMMYFUNCTION("""COMPUTED_VALUE"""),"Permission Structure")</f>
        <v>Permission Structure</v>
      </c>
      <c r="C205" s="17" t="str">
        <f>IFERROR(__xludf.DUMMYFUNCTION("""COMPUTED_VALUE"""),"Unsere Meinung zu ändern, fällt vielen von uns schwer – lieber beharren wir auf ihr, als uns die vermeintliche Blöße zu geben, dass wir falsch lagen. Mit welchen Tipps und Tricks du dein Gegenüber zum Umdenken bringst, erfährst du in diesem Short.")</f>
        <v>Unsere Meinung zu ändern, fällt vielen von uns schwer – lieber beharren wir auf ihr, als uns die vermeintliche Blöße zu geben, dass wir falsch lagen. Mit welchen Tipps und Tricks du dein Gegenüber zum Umdenken bringst, erfährst du in diesem Short.</v>
      </c>
      <c r="D205" s="17" t="str">
        <f>IFERROR(__xludf.DUMMYFUNCTION("""COMPUTED_VALUE"""),"Most of us stick to an opinion once we've formed one. We rather insist on it than admit that we were wrong. But that doesn't mean we can't do anything about it. In this Short, you'll learn about tips and tricks you can use to get your counterpart to chang"&amp;"e their mind.")</f>
        <v>Most of us stick to an opinion once we've formed one. We rather insist on it than admit that we were wrong. But that doesn't mean we can't do anything about it. In this Short, you'll learn about tips and tricks you can use to get your counterpart to change their mind.</v>
      </c>
      <c r="E205" s="28" t="str">
        <f>IFERROR(__xludf.DUMMYFUNCTION("""COMPUTED_VALUE"""),"Communication")</f>
        <v>Communication</v>
      </c>
      <c r="F205" s="19" t="str">
        <f>IFERROR(__xludf.DUMMYFUNCTION("""COMPUTED_VALUE"""),"Masterplan - Laura Graichen")</f>
        <v>Masterplan - Laura Graichen</v>
      </c>
      <c r="G205" s="20">
        <f>IFERROR(__xludf.DUMMYFUNCTION("""COMPUTED_VALUE"""),4.0)</f>
        <v>4</v>
      </c>
      <c r="H205" s="20">
        <f>IFERROR(__xludf.DUMMYFUNCTION("""COMPUTED_VALUE"""),3.0)</f>
        <v>3</v>
      </c>
      <c r="I205" s="21" t="str">
        <f>IFERROR(__xludf.DUMMYFUNCTION("""COMPUTED_VALUE"""),"English, German")</f>
        <v>English, German</v>
      </c>
      <c r="J205" s="21" t="str">
        <f>IFERROR(__xludf.DUMMYFUNCTION("""COMPUTED_VALUE"""),"German")</f>
        <v>German</v>
      </c>
      <c r="K205" s="22">
        <f>IFERROR(__xludf.DUMMYFUNCTION("""COMPUTED_VALUE"""),44979.0)</f>
        <v>44979</v>
      </c>
      <c r="L205" s="23" t="str">
        <f>IFERROR(__xludf.DUMMYFUNCTION("""COMPUTED_VALUE"""),"https://masterplan.com/courses/mp-shorts-permission-structure")</f>
        <v>https://masterplan.com/courses/mp-shorts-permission-structure</v>
      </c>
    </row>
    <row r="206">
      <c r="A206" s="6" t="str">
        <f>IFERROR(__xludf.DUMMYFUNCTION("""COMPUTED_VALUE"""),"Gewaltfreie Kommunikation")</f>
        <v>Gewaltfreie Kommunikation</v>
      </c>
      <c r="B206" s="7" t="str">
        <f>IFERROR(__xludf.DUMMYFUNCTION("""COMPUTED_VALUE"""),"Nonviolent Communication")</f>
        <v>Nonviolent Communication</v>
      </c>
      <c r="C206" s="8" t="str">
        <f>IFERROR(__xludf.DUMMYFUNCTION("""COMPUTED_VALUE"""),"Du hast das Gefühl, Diskussionen am Arbeitplatz enden meistens im Streit? Probier es mal mit Mitgefühl und Empathie! Erfahre hier, wieso Microsoft 2014 ein Konzept aus den 60er Jahren nahm und es zur Pflichtlektüre für seine Angestellten machte.")</f>
        <v>Du hast das Gefühl, Diskussionen am Arbeitplatz enden meistens im Streit? Probier es mal mit Mitgefühl und Empathie! Erfahre hier, wieso Microsoft 2014 ein Konzept aus den 60er Jahren nahm und es zur Pflichtlektüre für seine Angestellten machte.</v>
      </c>
      <c r="D206" s="8" t="str">
        <f>IFERROR(__xludf.DUMMYFUNCTION("""COMPUTED_VALUE"""),"Do you feel like discussions at work usually end in arguments? Try compassion and empathy! Find out why Microsoft took a concept from the 1960s and made it mandatory reading for its employees in 2014.")</f>
        <v>Do you feel like discussions at work usually end in arguments? Try compassion and empathy! Find out why Microsoft took a concept from the 1960s and made it mandatory reading for its employees in 2014.</v>
      </c>
      <c r="E206" s="28" t="str">
        <f>IFERROR(__xludf.DUMMYFUNCTION("""COMPUTED_VALUE"""),"Communication")</f>
        <v>Communication</v>
      </c>
      <c r="F206" s="10" t="str">
        <f>IFERROR(__xludf.DUMMYFUNCTION("""COMPUTED_VALUE"""),"Masterplan - Laura Graichen")</f>
        <v>Masterplan - Laura Graichen</v>
      </c>
      <c r="G206" s="11">
        <f>IFERROR(__xludf.DUMMYFUNCTION("""COMPUTED_VALUE"""),5.0)</f>
        <v>5</v>
      </c>
      <c r="H206" s="11">
        <f>IFERROR(__xludf.DUMMYFUNCTION("""COMPUTED_VALUE"""),3.0)</f>
        <v>3</v>
      </c>
      <c r="I206" s="12" t="str">
        <f>IFERROR(__xludf.DUMMYFUNCTION("""COMPUTED_VALUE"""),"English, German")</f>
        <v>English, German</v>
      </c>
      <c r="J206" s="12" t="str">
        <f>IFERROR(__xludf.DUMMYFUNCTION("""COMPUTED_VALUE"""),"German")</f>
        <v>German</v>
      </c>
      <c r="K206" s="13">
        <f>IFERROR(__xludf.DUMMYFUNCTION("""COMPUTED_VALUE"""),44979.0)</f>
        <v>44979</v>
      </c>
      <c r="L206" s="14" t="str">
        <f>IFERROR(__xludf.DUMMYFUNCTION("""COMPUTED_VALUE"""),"https://masterplan.com/courses/mp-shorts-gewaltfreie-kommunikation")</f>
        <v>https://masterplan.com/courses/mp-shorts-gewaltfreie-kommunikation</v>
      </c>
    </row>
    <row r="207">
      <c r="A207" s="15" t="str">
        <f>IFERROR(__xludf.DUMMYFUNCTION("""COMPUTED_VALUE"""),"Babble Hypothesis")</f>
        <v>Babble Hypothesis</v>
      </c>
      <c r="B207" s="16" t="str">
        <f>IFERROR(__xludf.DUMMYFUNCTION("""COMPUTED_VALUE"""),"Babble Hypothesis")</f>
        <v>Babble Hypothesis</v>
      </c>
      <c r="C207" s="17" t="str">
        <f>IFERROR(__xludf.DUMMYFUNCTION("""COMPUTED_VALUE"""),"Du glaubst, du erkennt gute Führungskräfte sofort? Wenn du dich da mal nicht täuscht! Wieso wir dazu neigen, in unserer Bewertung Quantität über Qualität zu setzen und wie man dem gegensteuern kann, erfährst du in diesem Short!")</f>
        <v>Du glaubst, du erkennt gute Führungskräfte sofort? Wenn du dich da mal nicht täuscht! Wieso wir dazu neigen, in unserer Bewertung Quantität über Qualität zu setzen und wie man dem gegensteuern kann, erfährst du in diesem Short!</v>
      </c>
      <c r="D207" s="17" t="str">
        <f>IFERROR(__xludf.DUMMYFUNCTION("""COMPUTED_VALUE"""),"You think you can recognize a good leader right away? Well, don't be mistaken! In this Short, you'll find out why we tend to value quantity over quality in our assessment and how you can counteract this!")</f>
        <v>You think you can recognize a good leader right away? Well, don't be mistaken! In this Short, you'll find out why we tend to value quantity over quality in our assessment and how you can counteract this!</v>
      </c>
      <c r="E207" s="28" t="str">
        <f>IFERROR(__xludf.DUMMYFUNCTION("""COMPUTED_VALUE"""),"Communication")</f>
        <v>Communication</v>
      </c>
      <c r="F207" s="19" t="str">
        <f>IFERROR(__xludf.DUMMYFUNCTION("""COMPUTED_VALUE"""),"Masterplan - Laura Graichen")</f>
        <v>Masterplan - Laura Graichen</v>
      </c>
      <c r="G207" s="20">
        <f>IFERROR(__xludf.DUMMYFUNCTION("""COMPUTED_VALUE"""),4.0)</f>
        <v>4</v>
      </c>
      <c r="H207" s="20">
        <f>IFERROR(__xludf.DUMMYFUNCTION("""COMPUTED_VALUE"""),3.0)</f>
        <v>3</v>
      </c>
      <c r="I207" s="21" t="str">
        <f>IFERROR(__xludf.DUMMYFUNCTION("""COMPUTED_VALUE"""),"English, German")</f>
        <v>English, German</v>
      </c>
      <c r="J207" s="21" t="str">
        <f>IFERROR(__xludf.DUMMYFUNCTION("""COMPUTED_VALUE"""),"German")</f>
        <v>German</v>
      </c>
      <c r="K207" s="22">
        <f>IFERROR(__xludf.DUMMYFUNCTION("""COMPUTED_VALUE"""),44979.0)</f>
        <v>44979</v>
      </c>
      <c r="L207" s="23" t="str">
        <f>IFERROR(__xludf.DUMMYFUNCTION("""COMPUTED_VALUE"""),"https://masterplan.com/courses/mp-shorts-babble-hypothesis")</f>
        <v>https://masterplan.com/courses/mp-shorts-babble-hypothesis</v>
      </c>
    </row>
    <row r="208">
      <c r="A208" s="6" t="str">
        <f>IFERROR(__xludf.DUMMYFUNCTION("""COMPUTED_VALUE"""),"""Kann ich Ihnen helfen?"" Dein Kundenservice 1x1")</f>
        <v>"Kann ich Ihnen helfen?" Dein Kundenservice 1x1</v>
      </c>
      <c r="B208" s="7" t="str">
        <f>IFERROR(__xludf.DUMMYFUNCTION("""COMPUTED_VALUE"""),"Customer Service Cheat Sheet for Live Chat")</f>
        <v>Customer Service Cheat Sheet for Live Chat</v>
      </c>
      <c r="C208" s="8" t="str">
        <f>IFERROR(__xludf.DUMMYFUNCTION("""COMPUTED_VALUE"""),"Fehlen dir im Live-Chat mit Kund:innen die Worte? Dieser Kurs bietet Tipps, Tricks und Schlüsselsätze für die 13 häufigsten Situationen in Kundendienst-Chats sowie einen herunterladbaren Spickzettel, damit aus verärgerten Kund:innen Stammkundschaft wird!")</f>
        <v>Fehlen dir im Live-Chat mit Kund:innen die Worte? Dieser Kurs bietet Tipps, Tricks und Schlüsselsätze für die 13 häufigsten Situationen in Kundendienst-Chats sowie einen herunterladbaren Spickzettel, damit aus verärgerten Kund:innen Stammkundschaft wird!</v>
      </c>
      <c r="D208" s="8" t="str">
        <f>IFERROR(__xludf.DUMMYFUNCTION("""COMPUTED_VALUE"""),"At a loss for words on live chat with customers? This course offers tips, tricks, and optimal phrases for responding to the 13 most common situations in customer service chats, plus a downloadable cheat sheet, so you can make loyal customers out of angry "&amp;"ones!")</f>
        <v>At a loss for words on live chat with customers? This course offers tips, tricks, and optimal phrases for responding to the 13 most common situations in customer service chats, plus a downloadable cheat sheet, so you can make loyal customers out of angry ones!</v>
      </c>
      <c r="E208" s="9" t="str">
        <f>IFERROR(__xludf.DUMMYFUNCTION("""COMPUTED_VALUE"""),"Global Citizenship")</f>
        <v>Global Citizenship</v>
      </c>
      <c r="F208" s="10" t="str">
        <f>IFERROR(__xludf.DUMMYFUNCTION("""COMPUTED_VALUE"""),"Provide Support Live Chat")</f>
        <v>Provide Support Live Chat</v>
      </c>
      <c r="G208" s="11">
        <f>IFERROR(__xludf.DUMMYFUNCTION("""COMPUTED_VALUE"""),23.0)</f>
        <v>23</v>
      </c>
      <c r="H208" s="11">
        <f>IFERROR(__xludf.DUMMYFUNCTION("""COMPUTED_VALUE"""),6.0)</f>
        <v>6</v>
      </c>
      <c r="I208" s="12" t="str">
        <f>IFERROR(__xludf.DUMMYFUNCTION("""COMPUTED_VALUE"""),"English, German")</f>
        <v>English, German</v>
      </c>
      <c r="J208" s="12" t="str">
        <f>IFERROR(__xludf.DUMMYFUNCTION("""COMPUTED_VALUE"""),"English")</f>
        <v>English</v>
      </c>
      <c r="K208" s="13">
        <f>IFERROR(__xludf.DUMMYFUNCTION("""COMPUTED_VALUE"""),44974.0)</f>
        <v>44974</v>
      </c>
      <c r="L208" s="14" t="str">
        <f>IFERROR(__xludf.DUMMYFUNCTION("""COMPUTED_VALUE"""),"https://masterplan.com/courses/kann-ich-ihnen-helfen-dein-kundenservice-1x1")</f>
        <v>https://masterplan.com/courses/kann-ich-ihnen-helfen-dein-kundenservice-1x1</v>
      </c>
    </row>
    <row r="209">
      <c r="A209" s="15" t="str">
        <f>IFERROR(__xludf.DUMMYFUNCTION("""COMPUTED_VALUE"""),"Die 2-Pizza-Regel")</f>
        <v>Die 2-Pizza-Regel</v>
      </c>
      <c r="B209" s="16" t="str">
        <f>IFERROR(__xludf.DUMMYFUNCTION("""COMPUTED_VALUE"""),"The 2 Pizza Rule")</f>
        <v>The 2 Pizza Rule</v>
      </c>
      <c r="C209" s="17" t="str">
        <f>IFERROR(__xludf.DUMMYFUNCTION("""COMPUTED_VALUE"""),"""Dieses Meeting hätte auch eine E-Mail sein können!"" - kommt dir der Satz bekannt vor? Wie große Pizzen und Jeff Bezos dir zu effizienteren Meetings verhelfen können, erfährst du in diesem Short!")</f>
        <v>"Dieses Meeting hätte auch eine E-Mail sein können!" - kommt dir der Satz bekannt vor? Wie große Pizzen und Jeff Bezos dir zu effizienteren Meetings verhelfen können, erfährst du in diesem Short!</v>
      </c>
      <c r="D209" s="17" t="str">
        <f>IFERROR(__xludf.DUMMYFUNCTION("""COMPUTED_VALUE"""),"""This meeting could have been an email!"" - Sound familiar? Find out how large pizzas and Jeff Bezos can help you have more efficient meetings in this Short!")</f>
        <v>"This meeting could have been an email!" - Sound familiar? Find out how large pizzas and Jeff Bezos can help you have more efficient meetings in this Short!</v>
      </c>
      <c r="E209" s="28" t="str">
        <f>IFERROR(__xludf.DUMMYFUNCTION("""COMPUTED_VALUE"""),"Communication")</f>
        <v>Communication</v>
      </c>
      <c r="F209" s="19" t="str">
        <f>IFERROR(__xludf.DUMMYFUNCTION("""COMPUTED_VALUE"""),"Masterplan - Bianca Keller")</f>
        <v>Masterplan - Bianca Keller</v>
      </c>
      <c r="G209" s="20">
        <f>IFERROR(__xludf.DUMMYFUNCTION("""COMPUTED_VALUE"""),3.0)</f>
        <v>3</v>
      </c>
      <c r="H209" s="20">
        <f>IFERROR(__xludf.DUMMYFUNCTION("""COMPUTED_VALUE"""),3.0)</f>
        <v>3</v>
      </c>
      <c r="I209" s="21" t="str">
        <f>IFERROR(__xludf.DUMMYFUNCTION("""COMPUTED_VALUE"""),"English, German")</f>
        <v>English, German</v>
      </c>
      <c r="J209" s="21" t="str">
        <f>IFERROR(__xludf.DUMMYFUNCTION("""COMPUTED_VALUE"""),"German")</f>
        <v>German</v>
      </c>
      <c r="K209" s="22">
        <f>IFERROR(__xludf.DUMMYFUNCTION("""COMPUTED_VALUE"""),44972.0)</f>
        <v>44972</v>
      </c>
      <c r="L209" s="23" t="str">
        <f>IFERROR(__xludf.DUMMYFUNCTION("""COMPUTED_VALUE"""),"https://masterplan.com/courses/mp-shorts-die-2-pizza-regel")</f>
        <v>https://masterplan.com/courses/mp-shorts-die-2-pizza-regel</v>
      </c>
    </row>
    <row r="210">
      <c r="A210" s="6" t="str">
        <f>IFERROR(__xludf.DUMMYFUNCTION("""COMPUTED_VALUE"""),"Der In-Group-Bias")</f>
        <v>Der In-Group-Bias</v>
      </c>
      <c r="B210" s="7" t="str">
        <f>IFERROR(__xludf.DUMMYFUNCTION("""COMPUTED_VALUE"""),"The In-Group Bias")</f>
        <v>The In-Group Bias</v>
      </c>
      <c r="C210" s="8" t="str">
        <f>IFERROR(__xludf.DUMMYFUNCTION("""COMPUTED_VALUE"""),"Wieso denken wir eigentlich immer, dass das eigene Team besser ist als alle anderen? In diesem Short erfährst du, wie Gruppendenken entsteht, und wie es einer erfolgreichen Zusammenarbeit in deinem Unternehmen im Weg stehen kann.")</f>
        <v>Wieso denken wir eigentlich immer, dass das eigene Team besser ist als alle anderen? In diesem Short erfährst du, wie Gruppendenken entsteht, und wie es einer erfolgreichen Zusammenarbeit in deinem Unternehmen im Weg stehen kann.</v>
      </c>
      <c r="D210" s="8" t="str">
        <f>IFERROR(__xludf.DUMMYFUNCTION("""COMPUTED_VALUE"""),"Why do we always think that our own team is better than all others? In this Short, you'll learn how groupthink comes about and how it can get in the way of successful collaboration in your company.")</f>
        <v>Why do we always think that our own team is better than all others? In this Short, you'll learn how groupthink comes about and how it can get in the way of successful collaboration in your company.</v>
      </c>
      <c r="E210" s="24" t="str">
        <f>IFERROR(__xludf.DUMMYFUNCTION("""COMPUTED_VALUE"""),"Emotional Intelligence")</f>
        <v>Emotional Intelligence</v>
      </c>
      <c r="F210" s="10" t="str">
        <f>IFERROR(__xludf.DUMMYFUNCTION("""COMPUTED_VALUE"""),"Masterplan - Bianca Keller")</f>
        <v>Masterplan - Bianca Keller</v>
      </c>
      <c r="G210" s="11">
        <f>IFERROR(__xludf.DUMMYFUNCTION("""COMPUTED_VALUE"""),3.0)</f>
        <v>3</v>
      </c>
      <c r="H210" s="11">
        <f>IFERROR(__xludf.DUMMYFUNCTION("""COMPUTED_VALUE"""),3.0)</f>
        <v>3</v>
      </c>
      <c r="I210" s="12" t="str">
        <f>IFERROR(__xludf.DUMMYFUNCTION("""COMPUTED_VALUE"""),"English, German")</f>
        <v>English, German</v>
      </c>
      <c r="J210" s="12" t="str">
        <f>IFERROR(__xludf.DUMMYFUNCTION("""COMPUTED_VALUE"""),"German")</f>
        <v>German</v>
      </c>
      <c r="K210" s="13">
        <f>IFERROR(__xludf.DUMMYFUNCTION("""COMPUTED_VALUE"""),44972.0)</f>
        <v>44972</v>
      </c>
      <c r="L210" s="14" t="str">
        <f>IFERROR(__xludf.DUMMYFUNCTION("""COMPUTED_VALUE"""),"https://masterplan.com/courses/mp-shorts-der-in-group-bias")</f>
        <v>https://masterplan.com/courses/mp-shorts-der-in-group-bias</v>
      </c>
    </row>
    <row r="211">
      <c r="A211" s="15" t="str">
        <f>IFERROR(__xludf.DUMMYFUNCTION("""COMPUTED_VALUE"""),"Intrapreneurship: Der Schlüssel zu mehr Innovation ")</f>
        <v>Intrapreneurship: Der Schlüssel zu mehr Innovation </v>
      </c>
      <c r="B211" s="16" t="str">
        <f>IFERROR(__xludf.DUMMYFUNCTION("""COMPUTED_VALUE"""),"Intrapreneur Insights ")</f>
        <v>Intrapreneur Insights </v>
      </c>
      <c r="C211" s="17" t="str">
        <f>IFERROR(__xludf.DUMMYFUNCTION("""COMPUTED_VALUE"""),"Du willst mehr Innovation in deiner Firma, aber weißt nicht richtig wie ? Der Schlüssel ist vielleicht schon in deiner Firma versteckt: Deine Mitarbeitenden! Finde heraus, wie du sie erfolgreich in Intrapreneure verwandelst, die dein Unternehmen weiterbri"&amp;"ngen! ")</f>
        <v>Du willst mehr Innovation in deiner Firma, aber weißt nicht richtig wie ? Der Schlüssel ist vielleicht schon in deiner Firma versteckt: Deine Mitarbeitenden! Finde heraus, wie du sie erfolgreich in Intrapreneure verwandelst, die dein Unternehmen weiterbringen! </v>
      </c>
      <c r="D211" s="17" t="str">
        <f>IFERROR(__xludf.DUMMYFUNCTION("""COMPUTED_VALUE"""),"Want your company to be more innovative but don't really know how? The key might be hidden within your company... in plain sight: your employees! Find out what you can do to transform them into successful intrapreneurs that help you bring your business fo"&amp;"rward. ")</f>
        <v>Want your company to be more innovative but don't really know how? The key might be hidden within your company... in plain sight: your employees! Find out what you can do to transform them into successful intrapreneurs that help you bring your business forward. </v>
      </c>
      <c r="E211" s="26" t="str">
        <f>IFERROR(__xludf.DUMMYFUNCTION("""COMPUTED_VALUE"""),"Collaboration and Leadership")</f>
        <v>Collaboration and Leadership</v>
      </c>
      <c r="F211" s="19" t="str">
        <f>IFERROR(__xludf.DUMMYFUNCTION("""COMPUTED_VALUE"""),"Bundl - Afonso Rebelo de Sousa")</f>
        <v>Bundl - Afonso Rebelo de Sousa</v>
      </c>
      <c r="G211" s="20">
        <f>IFERROR(__xludf.DUMMYFUNCTION("""COMPUTED_VALUE"""),12.0)</f>
        <v>12</v>
      </c>
      <c r="H211" s="20">
        <f>IFERROR(__xludf.DUMMYFUNCTION("""COMPUTED_VALUE"""),6.0)</f>
        <v>6</v>
      </c>
      <c r="I211" s="21" t="str">
        <f>IFERROR(__xludf.DUMMYFUNCTION("""COMPUTED_VALUE"""),"English, German")</f>
        <v>English, German</v>
      </c>
      <c r="J211" s="21" t="str">
        <f>IFERROR(__xludf.DUMMYFUNCTION("""COMPUTED_VALUE"""),"English")</f>
        <v>English</v>
      </c>
      <c r="K211" s="22">
        <f>IFERROR(__xludf.DUMMYFUNCTION("""COMPUTED_VALUE"""),44972.0)</f>
        <v>44972</v>
      </c>
      <c r="L211" s="23" t="str">
        <f>IFERROR(__xludf.DUMMYFUNCTION("""COMPUTED_VALUE"""),"https://masterplan.com/courses/intrapreneurship-der-schluessel-zu-mehr-innovation")</f>
        <v>https://masterplan.com/courses/intrapreneurship-der-schluessel-zu-mehr-innovation</v>
      </c>
    </row>
    <row r="212">
      <c r="A212" s="6" t="str">
        <f>IFERROR(__xludf.DUMMYFUNCTION("""COMPUTED_VALUE"""),"Psychologische Sicherheit")</f>
        <v>Psychologische Sicherheit</v>
      </c>
      <c r="B212" s="7" t="str">
        <f>IFERROR(__xludf.DUMMYFUNCTION("""COMPUTED_VALUE"""),"Psychological Safety")</f>
        <v>Psychological Safety</v>
      </c>
      <c r="C212" s="8" t="str">
        <f>IFERROR(__xludf.DUMMYFUNCTION("""COMPUTED_VALUE"""),"Um die Effektivität seiner Teams zu steigern, hat sich Google von dem Philosophen Aristoteles inspirieren lassen. In diesem Short erfährst du, wieso eine positive Feedback- und Fehlerkultur die Innovation in deinem Unternehmen steigern kann!")</f>
        <v>Um die Effektivität seiner Teams zu steigern, hat sich Google von dem Philosophen Aristoteles inspirieren lassen. In diesem Short erfährst du, wieso eine positive Feedback- und Fehlerkultur die Innovation in deinem Unternehmen steigern kann!</v>
      </c>
      <c r="D212" s="8" t="str">
        <f>IFERROR(__xludf.DUMMYFUNCTION("""COMPUTED_VALUE"""),"To increase the effectiveness of its teams, Google took inspiration from the philosopher Aristotle. In this short, you will learn why a positive feedback and error culture can increase innovation in your company!")</f>
        <v>To increase the effectiveness of its teams, Google took inspiration from the philosopher Aristotle. In this short, you will learn why a positive feedback and error culture can increase innovation in your company!</v>
      </c>
      <c r="E212" s="26" t="str">
        <f>IFERROR(__xludf.DUMMYFUNCTION("""COMPUTED_VALUE"""),"Collaboration and Leadership")</f>
        <v>Collaboration and Leadership</v>
      </c>
      <c r="F212" s="10" t="str">
        <f>IFERROR(__xludf.DUMMYFUNCTION("""COMPUTED_VALUE"""),"Masterplan - Bianca Keller")</f>
        <v>Masterplan - Bianca Keller</v>
      </c>
      <c r="G212" s="11">
        <f>IFERROR(__xludf.DUMMYFUNCTION("""COMPUTED_VALUE"""),4.0)</f>
        <v>4</v>
      </c>
      <c r="H212" s="11">
        <f>IFERROR(__xludf.DUMMYFUNCTION("""COMPUTED_VALUE"""),3.0)</f>
        <v>3</v>
      </c>
      <c r="I212" s="12" t="str">
        <f>IFERROR(__xludf.DUMMYFUNCTION("""COMPUTED_VALUE"""),"English, German")</f>
        <v>English, German</v>
      </c>
      <c r="J212" s="12" t="str">
        <f>IFERROR(__xludf.DUMMYFUNCTION("""COMPUTED_VALUE"""),"German")</f>
        <v>German</v>
      </c>
      <c r="K212" s="13">
        <f>IFERROR(__xludf.DUMMYFUNCTION("""COMPUTED_VALUE"""),44972.0)</f>
        <v>44972</v>
      </c>
      <c r="L212" s="14" t="str">
        <f>IFERROR(__xludf.DUMMYFUNCTION("""COMPUTED_VALUE"""),"https://masterplan.com/courses/mp-shorts-psychologische-sicherheit")</f>
        <v>https://masterplan.com/courses/mp-shorts-psychologische-sicherheit</v>
      </c>
    </row>
    <row r="213">
      <c r="A213" s="15" t="str">
        <f>IFERROR(__xludf.DUMMYFUNCTION("""COMPUTED_VALUE"""),"Daten und Analytik einfach erklärt")</f>
        <v>Daten und Analytik einfach erklärt</v>
      </c>
      <c r="B213" s="16" t="str">
        <f>IFERROR(__xludf.DUMMYFUNCTION("""COMPUTED_VALUE"""),"Data and Analytics Explained")</f>
        <v>Data and Analytics Explained</v>
      </c>
      <c r="C213" s="17" t="str">
        <f>IFERROR(__xludf.DUMMYFUNCTION("""COMPUTED_VALUE"""),"Wie funktioniert Data Engineering und wer ist dafür verantwortlich? Hier lernst du alles über die grundlegenden Prozesse - von der Automatisierung einer ETL-Pipeline bis zur Entwicklung von ML-Modellen - sowie die verschiedenen Rollen, die dafür benötigt "&amp;"werden.")</f>
        <v>Wie funktioniert Data Engineering und wer ist dafür verantwortlich? Hier lernst du alles über die grundlegenden Prozesse - von der Automatisierung einer ETL-Pipeline bis zur Entwicklung von ML-Modellen - sowie die verschiedenen Rollen, die dafür benötigt werden.</v>
      </c>
      <c r="D213" s="17" t="str">
        <f>IFERROR(__xludf.DUMMYFUNCTION("""COMPUTED_VALUE"""),"How does Data Engineering work, and who makes it work? Here you'll learn all about the basic processes behind Data Engineering– from automating an ETL pipeline to developing Machine Learning models– plus the different roles of Engineers, Analysts, and Arc"&amp;"hitects.")</f>
        <v>How does Data Engineering work, and who makes it work? Here you'll learn all about the basic processes behind Data Engineering– from automating an ETL pipeline to developing Machine Learning models– plus the different roles of Engineers, Analysts, and Architects.</v>
      </c>
      <c r="E213" s="25" t="str">
        <f>IFERROR(__xludf.DUMMYFUNCTION("""COMPUTED_VALUE"""),"Digital Literacy")</f>
        <v>Digital Literacy</v>
      </c>
      <c r="F213" s="19" t="str">
        <f>IFERROR(__xludf.DUMMYFUNCTION("""COMPUTED_VALUE"""),"AltexSoft")</f>
        <v>AltexSoft</v>
      </c>
      <c r="G213" s="20">
        <f>IFERROR(__xludf.DUMMYFUNCTION("""COMPUTED_VALUE"""),51.0)</f>
        <v>51</v>
      </c>
      <c r="H213" s="20">
        <f>IFERROR(__xludf.DUMMYFUNCTION("""COMPUTED_VALUE"""),12.0)</f>
        <v>12</v>
      </c>
      <c r="I213" s="21" t="str">
        <f>IFERROR(__xludf.DUMMYFUNCTION("""COMPUTED_VALUE"""),"English, German")</f>
        <v>English, German</v>
      </c>
      <c r="J213" s="21" t="str">
        <f>IFERROR(__xludf.DUMMYFUNCTION("""COMPUTED_VALUE"""),"English")</f>
        <v>English</v>
      </c>
      <c r="K213" s="22">
        <f>IFERROR(__xludf.DUMMYFUNCTION("""COMPUTED_VALUE"""),44959.0)</f>
        <v>44959</v>
      </c>
      <c r="L213" s="23" t="str">
        <f>IFERROR(__xludf.DUMMYFUNCTION("""COMPUTED_VALUE"""),"https://masterplan.com/courses/daten-und-analytik-einfach-erklaert")</f>
        <v>https://masterplan.com/courses/daten-und-analytik-einfach-erklaert</v>
      </c>
    </row>
    <row r="214">
      <c r="A214" s="6" t="str">
        <f>IFERROR(__xludf.DUMMYFUNCTION("""COMPUTED_VALUE"""),"Von Viator, Booking.com &amp; Co: Der Kampf um den Tourismus")</f>
        <v>Von Viator, Booking.com &amp; Co: Der Kampf um den Tourismus</v>
      </c>
      <c r="B214" s="7" t="str">
        <f>IFERROR(__xludf.DUMMYFUNCTION("""COMPUTED_VALUE"""),"Evolution of the Tours and Attractions Industry")</f>
        <v>Evolution of the Tours and Attractions Industry</v>
      </c>
      <c r="C214" s="8" t="str">
        <f>IFERROR(__xludf.DUMMYFUNCTION("""COMPUTED_VALUE"""),"Mit seiner Buchungsplattform für Touristenattraktionen war Viator Anfang der 2000er allen einen Schritt voraus. Konkurrenz? Gab es nicht! Das größte Problem allerdings: Die Digitalisierung. Erst 2010 schufen iOS und Android neue Möglichkeiten, aber auch K"&amp;"onkurrenten...")</f>
        <v>Mit seiner Buchungsplattform für Touristenattraktionen war Viator Anfang der 2000er allen einen Schritt voraus. Konkurrenz? Gab es nicht! Das größte Problem allerdings: Die Digitalisierung. Erst 2010 schufen iOS und Android neue Möglichkeiten, aber auch Konkurrenten...</v>
      </c>
      <c r="D214" s="8" t="str">
        <f>IFERROR(__xludf.DUMMYFUNCTION("""COMPUTED_VALUE"""),"With its tourist attraction booking platform, Viator was ahead of everyone in the early 2000s. What could go wrong? Lagging behind on digitalization! It wasn't until 2010 that iOS and Android created new opportunities, but also competitors...")</f>
        <v>With its tourist attraction booking platform, Viator was ahead of everyone in the early 2000s. What could go wrong? Lagging behind on digitalization! It wasn't until 2010 that iOS and Android created new opportunities, but also competitors...</v>
      </c>
      <c r="E214" s="25" t="str">
        <f>IFERROR(__xludf.DUMMYFUNCTION("""COMPUTED_VALUE"""),"Digital Literacy")</f>
        <v>Digital Literacy</v>
      </c>
      <c r="F214" s="10" t="str">
        <f>IFERROR(__xludf.DUMMYFUNCTION("""COMPUTED_VALUE"""),"AltexSoft")</f>
        <v>AltexSoft</v>
      </c>
      <c r="G214" s="11">
        <f>IFERROR(__xludf.DUMMYFUNCTION("""COMPUTED_VALUE"""),8.0)</f>
        <v>8</v>
      </c>
      <c r="H214" s="11">
        <f>IFERROR(__xludf.DUMMYFUNCTION("""COMPUTED_VALUE"""),7.0)</f>
        <v>7</v>
      </c>
      <c r="I214" s="12" t="str">
        <f>IFERROR(__xludf.DUMMYFUNCTION("""COMPUTED_VALUE"""),"English, German")</f>
        <v>English, German</v>
      </c>
      <c r="J214" s="12" t="str">
        <f>IFERROR(__xludf.DUMMYFUNCTION("""COMPUTED_VALUE"""),"English")</f>
        <v>English</v>
      </c>
      <c r="K214" s="13">
        <f>IFERROR(__xludf.DUMMYFUNCTION("""COMPUTED_VALUE"""),44957.0)</f>
        <v>44957</v>
      </c>
      <c r="L214" s="14" t="str">
        <f>IFERROR(__xludf.DUMMYFUNCTION("""COMPUTED_VALUE"""),"https://masterplan.com/courses/von-viator-bookingcom-und-co-der-kampf-um-den-tourismus")</f>
        <v>https://masterplan.com/courses/von-viator-bookingcom-und-co-der-kampf-um-den-tourismus</v>
      </c>
    </row>
    <row r="215">
      <c r="A215" s="15" t="str">
        <f>IFERROR(__xludf.DUMMYFUNCTION("""COMPUTED_VALUE"""),"UNFCK Sales: Kaltakquise")</f>
        <v>UNFCK Sales: Kaltakquise</v>
      </c>
      <c r="B215" s="16" t="str">
        <f>IFERROR(__xludf.DUMMYFUNCTION("""COMPUTED_VALUE"""),"UNFCK Sales: Cold Calls")</f>
        <v>UNFCK Sales: Cold Calls</v>
      </c>
      <c r="C215" s="17" t="str">
        <f>IFERROR(__xludf.DUMMYFUNCTION("""COMPUTED_VALUE"""),"Die Kaltakquise – nicht unbedingt das, was Vertrieber:innen am liebsten machen! Woran das liegt? Unter anderem daran, dass viele mit der falschen Zielsetzung an die Sache rangehen...")</f>
        <v>Die Kaltakquise – nicht unbedingt das, was Vertrieber:innen am liebsten machen! Woran das liegt? Unter anderem daran, dass viele mit der falschen Zielsetzung an die Sache rangehen...</v>
      </c>
      <c r="D215" s="17" t="str">
        <f>IFERROR(__xludf.DUMMYFUNCTION("""COMPUTED_VALUE"""),"Cold calling– not exactly our favorite thing to do in Sales! Why is that? Learn here how cold calling can be very successful– as long as you have the right objectives.")</f>
        <v>Cold calling– not exactly our favorite thing to do in Sales! Why is that? Learn here how cold calling can be very successful– as long as you have the right objectives.</v>
      </c>
      <c r="E215" s="9" t="str">
        <f>IFERROR(__xludf.DUMMYFUNCTION("""COMPUTED_VALUE"""),"Global Citizenship")</f>
        <v>Global Citizenship</v>
      </c>
      <c r="F215" s="19" t="str">
        <f>IFERROR(__xludf.DUMMYFUNCTION("""COMPUTED_VALUE"""),"Morten Wolff")</f>
        <v>Morten Wolff</v>
      </c>
      <c r="G215" s="20">
        <f>IFERROR(__xludf.DUMMYFUNCTION("""COMPUTED_VALUE"""),1.0)</f>
        <v>1</v>
      </c>
      <c r="H215" s="20">
        <f>IFERROR(__xludf.DUMMYFUNCTION("""COMPUTED_VALUE"""),3.0)</f>
        <v>3</v>
      </c>
      <c r="I215" s="21" t="str">
        <f>IFERROR(__xludf.DUMMYFUNCTION("""COMPUTED_VALUE"""),"English, German")</f>
        <v>English, German</v>
      </c>
      <c r="J215" s="21" t="str">
        <f>IFERROR(__xludf.DUMMYFUNCTION("""COMPUTED_VALUE"""),"German")</f>
        <v>German</v>
      </c>
      <c r="K215" s="22">
        <f>IFERROR(__xludf.DUMMYFUNCTION("""COMPUTED_VALUE"""),44957.0)</f>
        <v>44957</v>
      </c>
      <c r="L215" s="23" t="str">
        <f>IFERROR(__xludf.DUMMYFUNCTION("""COMPUTED_VALUE"""),"https://masterplan.com/courses/mp-shorts-unfck-sales-kaltakquise")</f>
        <v>https://masterplan.com/courses/mp-shorts-unfck-sales-kaltakquise</v>
      </c>
    </row>
    <row r="216">
      <c r="A216" s="6" t="str">
        <f>IFERROR(__xludf.DUMMYFUNCTION("""COMPUTED_VALUE"""),"UNFCK Sales: Mentalkonten")</f>
        <v>UNFCK Sales: Mentalkonten</v>
      </c>
      <c r="B216" s="7" t="str">
        <f>IFERROR(__xludf.DUMMYFUNCTION("""COMPUTED_VALUE"""),"UNFCK Sales: Mental Accounts")</f>
        <v>UNFCK Sales: Mental Accounts</v>
      </c>
      <c r="C216" s="8" t="str">
        <f>IFERROR(__xludf.DUMMYFUNCTION("""COMPUTED_VALUE"""),"Wir alle führen sie unbewusst: Mentalkonten! Egal ob für Kino, Bekleidung oder Kosmetika: für jedes dieser ""Konten"" haben wir ein Budget. Dementsprechend bestimmen Mentalkonten extrem über das Kaufverhalten. Wie kannst du dir dieses Phänomen im Vertrieb"&amp;" zu nutze machen?")</f>
        <v>Wir alle führen sie unbewusst: Mentalkonten! Egal ob für Kino, Bekleidung oder Kosmetika: für jedes dieser "Konten" haben wir ein Budget. Dementsprechend bestimmen Mentalkonten extrem über das Kaufverhalten. Wie kannst du dir dieses Phänomen im Vertrieb zu nutze machen?</v>
      </c>
      <c r="D216" s="8" t="str">
        <f>IFERROR(__xludf.DUMMYFUNCTION("""COMPUTED_VALUE"""),"We all keep them unconsciously: mental accounts! Whether for cinema, clothing, or cosmetics: for each of these ""accounts"", we have a budget, and this has a huge influence on our buying behavior. How can you take advantage of this phenomenon in Sales?")</f>
        <v>We all keep them unconsciously: mental accounts! Whether for cinema, clothing, or cosmetics: for each of these "accounts", we have a budget, and this has a huge influence on our buying behavior. How can you take advantage of this phenomenon in Sales?</v>
      </c>
      <c r="E216" s="9" t="str">
        <f>IFERROR(__xludf.DUMMYFUNCTION("""COMPUTED_VALUE"""),"Global Citizenship")</f>
        <v>Global Citizenship</v>
      </c>
      <c r="F216" s="10" t="str">
        <f>IFERROR(__xludf.DUMMYFUNCTION("""COMPUTED_VALUE"""),"Morten Wolff")</f>
        <v>Morten Wolff</v>
      </c>
      <c r="G216" s="11">
        <f>IFERROR(__xludf.DUMMYFUNCTION("""COMPUTED_VALUE"""),2.0)</f>
        <v>2</v>
      </c>
      <c r="H216" s="11">
        <f>IFERROR(__xludf.DUMMYFUNCTION("""COMPUTED_VALUE"""),3.0)</f>
        <v>3</v>
      </c>
      <c r="I216" s="12" t="str">
        <f>IFERROR(__xludf.DUMMYFUNCTION("""COMPUTED_VALUE"""),"English, German")</f>
        <v>English, German</v>
      </c>
      <c r="J216" s="12" t="str">
        <f>IFERROR(__xludf.DUMMYFUNCTION("""COMPUTED_VALUE"""),"German")</f>
        <v>German</v>
      </c>
      <c r="K216" s="13">
        <f>IFERROR(__xludf.DUMMYFUNCTION("""COMPUTED_VALUE"""),44957.0)</f>
        <v>44957</v>
      </c>
      <c r="L216" s="14" t="str">
        <f>IFERROR(__xludf.DUMMYFUNCTION("""COMPUTED_VALUE"""),"https://masterplan.com/courses/mp-shorts-unfck-sales-mentalkonten")</f>
        <v>https://masterplan.com/courses/mp-shorts-unfck-sales-mentalkonten</v>
      </c>
    </row>
    <row r="217">
      <c r="A217" s="15" t="str">
        <f>IFERROR(__xludf.DUMMYFUNCTION("""COMPUTED_VALUE"""),"UNFCK Sales: Motivation")</f>
        <v>UNFCK Sales: Motivation</v>
      </c>
      <c r="B217" s="16" t="str">
        <f>IFERROR(__xludf.DUMMYFUNCTION("""COMPUTED_VALUE"""),"UNFCK Sales: Motivation")</f>
        <v>UNFCK Sales: Motivation</v>
      </c>
      <c r="C217" s="17" t="str">
        <f>IFERROR(__xludf.DUMMYFUNCTION("""COMPUTED_VALUE"""),"Kennst du den Unterschied zwischen Disziplin und Motivation? Und wovon braucht man mehr, wenn man im Vertrieb durchstarten möchte? Lass dir gesagt sein: Das Erfolgsgeheimnis liegt in deinen Zielen! ")</f>
        <v>Kennst du den Unterschied zwischen Disziplin und Motivation? Und wovon braucht man mehr, wenn man im Vertrieb durchstarten möchte? Lass dir gesagt sein: Das Erfolgsgeheimnis liegt in deinen Zielen! </v>
      </c>
      <c r="D217" s="17" t="str">
        <f>IFERROR(__xludf.DUMMYFUNCTION("""COMPUTED_VALUE"""),"Do you know the difference between discipline and motivation? And what do you need more of if you want to make it in Sales? Here Morten explains– The secret to success lies in your goals! ")</f>
        <v>Do you know the difference between discipline and motivation? And what do you need more of if you want to make it in Sales? Here Morten explains– The secret to success lies in your goals! </v>
      </c>
      <c r="E217" s="9" t="str">
        <f>IFERROR(__xludf.DUMMYFUNCTION("""COMPUTED_VALUE"""),"Global Citizenship")</f>
        <v>Global Citizenship</v>
      </c>
      <c r="F217" s="19" t="str">
        <f>IFERROR(__xludf.DUMMYFUNCTION("""COMPUTED_VALUE"""),"Morten Wolff")</f>
        <v>Morten Wolff</v>
      </c>
      <c r="G217" s="20">
        <f>IFERROR(__xludf.DUMMYFUNCTION("""COMPUTED_VALUE"""),2.0)</f>
        <v>2</v>
      </c>
      <c r="H217" s="20">
        <f>IFERROR(__xludf.DUMMYFUNCTION("""COMPUTED_VALUE"""),3.0)</f>
        <v>3</v>
      </c>
      <c r="I217" s="21" t="str">
        <f>IFERROR(__xludf.DUMMYFUNCTION("""COMPUTED_VALUE"""),"English, German")</f>
        <v>English, German</v>
      </c>
      <c r="J217" s="21" t="str">
        <f>IFERROR(__xludf.DUMMYFUNCTION("""COMPUTED_VALUE"""),"German")</f>
        <v>German</v>
      </c>
      <c r="K217" s="22">
        <f>IFERROR(__xludf.DUMMYFUNCTION("""COMPUTED_VALUE"""),44957.0)</f>
        <v>44957</v>
      </c>
      <c r="L217" s="23" t="str">
        <f>IFERROR(__xludf.DUMMYFUNCTION("""COMPUTED_VALUE"""),"https://masterplan.com/courses/mp-shorts-unfck-sales-motivation")</f>
        <v>https://masterplan.com/courses/mp-shorts-unfck-sales-motivation</v>
      </c>
    </row>
    <row r="218">
      <c r="A218" s="6" t="str">
        <f>IFERROR(__xludf.DUMMYFUNCTION("""COMPUTED_VALUE"""),"Dynamic Pricing einfach erklärt")</f>
        <v>Dynamic Pricing einfach erklärt</v>
      </c>
      <c r="B218" s="7" t="str">
        <f>IFERROR(__xludf.DUMMYFUNCTION("""COMPUTED_VALUE"""),"Dynamic Pricing Explained")</f>
        <v>Dynamic Pricing Explained</v>
      </c>
      <c r="C218" s="8" t="str">
        <f>IFERROR(__xludf.DUMMYFUNCTION("""COMPUTED_VALUE"""),"Gestern hat das Flugticket noch 90€ gekostet, heute kostet es 60€ mehr. Hast du dich auch schon mal gefragt, wie diese Preisschwankungen entstehen? Die Antwort lautet ""dynamische Preisgestaltung"". Lass und gemeinsam anschauen, was genau sich hinter dem "&amp;"Begriff verbirgt.")</f>
        <v>Gestern hat das Flugticket noch 90€ gekostet, heute kostet es 60€ mehr. Hast du dich auch schon mal gefragt, wie diese Preisschwankungen entstehen? Die Antwort lautet "dynamische Preisgestaltung". Lass und gemeinsam anschauen, was genau sich hinter dem Begriff verbirgt.</v>
      </c>
      <c r="D218" s="8" t="str">
        <f>IFERROR(__xludf.DUMMYFUNCTION("""COMPUTED_VALUE"""),"Yesterday the flight ticket cost 90€, today it costs 60€ more. Have you ever wondered how these price fluctuations come about? The answer is ""dynamic pricing"". Let's take a closer look at this.")</f>
        <v>Yesterday the flight ticket cost 90€, today it costs 60€ more. Have you ever wondered how these price fluctuations come about? The answer is "dynamic pricing". Let's take a closer look at this.</v>
      </c>
      <c r="E218" s="9" t="str">
        <f>IFERROR(__xludf.DUMMYFUNCTION("""COMPUTED_VALUE"""),"Global Citizenship")</f>
        <v>Global Citizenship</v>
      </c>
      <c r="F218" s="10" t="str">
        <f>IFERROR(__xludf.DUMMYFUNCTION("""COMPUTED_VALUE"""),"AltexSoft")</f>
        <v>AltexSoft</v>
      </c>
      <c r="G218" s="11">
        <f>IFERROR(__xludf.DUMMYFUNCTION("""COMPUTED_VALUE"""),13.0)</f>
        <v>13</v>
      </c>
      <c r="H218" s="11">
        <f>IFERROR(__xludf.DUMMYFUNCTION("""COMPUTED_VALUE"""),4.0)</f>
        <v>4</v>
      </c>
      <c r="I218" s="12" t="str">
        <f>IFERROR(__xludf.DUMMYFUNCTION("""COMPUTED_VALUE"""),"English, German")</f>
        <v>English, German</v>
      </c>
      <c r="J218" s="12" t="str">
        <f>IFERROR(__xludf.DUMMYFUNCTION("""COMPUTED_VALUE"""),"English")</f>
        <v>English</v>
      </c>
      <c r="K218" s="13">
        <f>IFERROR(__xludf.DUMMYFUNCTION("""COMPUTED_VALUE"""),44956.0)</f>
        <v>44956</v>
      </c>
      <c r="L218" s="14" t="str">
        <f>IFERROR(__xludf.DUMMYFUNCTION("""COMPUTED_VALUE"""),"https://masterplan.com/courses/dynamic-pricing-einfach-erklaert")</f>
        <v>https://masterplan.com/courses/dynamic-pricing-einfach-erklaert</v>
      </c>
    </row>
    <row r="219">
      <c r="A219" s="15" t="str">
        <f>IFERROR(__xludf.DUMMYFUNCTION("""COMPUTED_VALUE"""),"Was ist ein Solution Architect?")</f>
        <v>Was ist ein Solution Architect?</v>
      </c>
      <c r="B219" s="16" t="str">
        <f>IFERROR(__xludf.DUMMYFUNCTION("""COMPUTED_VALUE"""),"What Is a Solution Architect?")</f>
        <v>What Is a Solution Architect?</v>
      </c>
      <c r="C219" s="17" t="str">
        <f>IFERROR(__xludf.DUMMYFUNCTION("""COMPUTED_VALUE"""),"Was ist ein Solution Architect, und braucht dein nächstes Softwareprojekt einen? Heute lernen wir mehr über die Rolle eines Solution Architects und finden heraus, ob Solution Architecture der Schlüssel zum technischen Erfolg deines Unternehmens ist.")</f>
        <v>Was ist ein Solution Architect, und braucht dein nächstes Softwareprojekt einen? Heute lernen wir mehr über die Rolle eines Solution Architects und finden heraus, ob Solution Architecture der Schlüssel zum technischen Erfolg deines Unternehmens ist.</v>
      </c>
      <c r="D219" s="17" t="str">
        <f>IFERROR(__xludf.DUMMYFUNCTION("""COMPUTED_VALUE"""),"What is a Solution Architect, and does your next software project need one? Here you'll learn about their role and responsibilities– plus the problems they're meant to solve– to see if Solution Architecture is the key to your organization's technical succ"&amp;"ess.")</f>
        <v>What is a Solution Architect, and does your next software project need one? Here you'll learn about their role and responsibilities– plus the problems they're meant to solve– to see if Solution Architecture is the key to your organization's technical success.</v>
      </c>
      <c r="E219" s="25" t="str">
        <f>IFERROR(__xludf.DUMMYFUNCTION("""COMPUTED_VALUE"""),"Digital Literacy")</f>
        <v>Digital Literacy</v>
      </c>
      <c r="F219" s="19" t="str">
        <f>IFERROR(__xludf.DUMMYFUNCTION("""COMPUTED_VALUE"""),"AltexSoft")</f>
        <v>AltexSoft</v>
      </c>
      <c r="G219" s="20">
        <f>IFERROR(__xludf.DUMMYFUNCTION("""COMPUTED_VALUE"""),11.0)</f>
        <v>11</v>
      </c>
      <c r="H219" s="20">
        <f>IFERROR(__xludf.DUMMYFUNCTION("""COMPUTED_VALUE"""),3.0)</f>
        <v>3</v>
      </c>
      <c r="I219" s="21" t="str">
        <f>IFERROR(__xludf.DUMMYFUNCTION("""COMPUTED_VALUE"""),"English, German")</f>
        <v>English, German</v>
      </c>
      <c r="J219" s="21" t="str">
        <f>IFERROR(__xludf.DUMMYFUNCTION("""COMPUTED_VALUE"""),"English")</f>
        <v>English</v>
      </c>
      <c r="K219" s="22">
        <f>IFERROR(__xludf.DUMMYFUNCTION("""COMPUTED_VALUE"""),44953.0)</f>
        <v>44953</v>
      </c>
      <c r="L219" s="23" t="str">
        <f>IFERROR(__xludf.DUMMYFUNCTION("""COMPUTED_VALUE"""),"https://masterplan.com/courses/was-ist-ein-solution-architect")</f>
        <v>https://masterplan.com/courses/was-ist-ein-solution-architect</v>
      </c>
    </row>
    <row r="220">
      <c r="A220" s="6" t="str">
        <f>IFERROR(__xludf.DUMMYFUNCTION("""COMPUTED_VALUE"""),"Mit simplen Schritten zur finanziellen Sicherheit")</f>
        <v>Mit simplen Schritten zur finanziellen Sicherheit</v>
      </c>
      <c r="B220" s="7" t="str">
        <f>IFERROR(__xludf.DUMMYFUNCTION("""COMPUTED_VALUE"""),"Simple Steps Toward a Safe Financial Future")</f>
        <v>Simple Steps Toward a Safe Financial Future</v>
      </c>
      <c r="C220" s="8" t="str">
        <f>IFERROR(__xludf.DUMMYFUNCTION("""COMPUTED_VALUE"""),"Wie sicher ist deine finanzielle Zukunft? Für den perfekten Finanzplan zeigen wir dir, wie du ein Budget mit der 50/30/20-Regel erstellst, die besten Apps, um sich daran zu halten, sowie einfache Tips, um deine Ausgaben zu reduzieren und deine Ersparnisse"&amp;" aufzustocken. ")</f>
        <v>Wie sicher ist deine finanzielle Zukunft? Für den perfekten Finanzplan zeigen wir dir, wie du ein Budget mit der 50/30/20-Regel erstellst, die besten Apps, um sich daran zu halten, sowie einfache Tips, um deine Ausgaben zu reduzieren und deine Ersparnisse aufzustocken. </v>
      </c>
      <c r="D220" s="8" t="str">
        <f>IFERROR(__xludf.DUMMYFUNCTION("""COMPUTED_VALUE"""),"How safe is your financial future? In order to perfect your personal financial plan, this course walks you through creating a budget with the 50/30/20 rule, the best apps for sticking to it, plus simple tips to cut down on your spending and bulk up on you"&amp;"r savings. ")</f>
        <v>How safe is your financial future? In order to perfect your personal financial plan, this course walks you through creating a budget with the 50/30/20 rule, the best apps for sticking to it, plus simple tips to cut down on your spending and bulk up on your savings. </v>
      </c>
      <c r="E220" s="9" t="str">
        <f>IFERROR(__xludf.DUMMYFUNCTION("""COMPUTED_VALUE"""),"Global Citizenship")</f>
        <v>Global Citizenship</v>
      </c>
      <c r="F220" s="10" t="str">
        <f>IFERROR(__xludf.DUMMYFUNCTION("""COMPUTED_VALUE"""),"N26")</f>
        <v>N26</v>
      </c>
      <c r="G220" s="11">
        <f>IFERROR(__xludf.DUMMYFUNCTION("""COMPUTED_VALUE"""),86.0)</f>
        <v>86</v>
      </c>
      <c r="H220" s="11">
        <f>IFERROR(__xludf.DUMMYFUNCTION("""COMPUTED_VALUE"""),14.0)</f>
        <v>14</v>
      </c>
      <c r="I220" s="12" t="str">
        <f>IFERROR(__xludf.DUMMYFUNCTION("""COMPUTED_VALUE"""),"English, German")</f>
        <v>English, German</v>
      </c>
      <c r="J220" s="12" t="str">
        <f>IFERROR(__xludf.DUMMYFUNCTION("""COMPUTED_VALUE"""),"Text only")</f>
        <v>Text only</v>
      </c>
      <c r="K220" s="13">
        <f>IFERROR(__xludf.DUMMYFUNCTION("""COMPUTED_VALUE"""),44952.0)</f>
        <v>44952</v>
      </c>
      <c r="L220" s="14" t="str">
        <f>IFERROR(__xludf.DUMMYFUNCTION("""COMPUTED_VALUE"""),"https://masterplan.com/courses/mit-simplen-schritten-zur-finanziellen-sicherheit")</f>
        <v>https://masterplan.com/courses/mit-simplen-schritten-zur-finanziellen-sicherheit</v>
      </c>
    </row>
    <row r="221">
      <c r="A221" s="15" t="str">
        <f>IFERROR(__xludf.DUMMYFUNCTION("""COMPUTED_VALUE"""),"So schützt Du Dich vor Betrug im Netz")</f>
        <v>So schützt Du Dich vor Betrug im Netz</v>
      </c>
      <c r="B221" s="16" t="str">
        <f>IFERROR(__xludf.DUMMYFUNCTION("""COMPUTED_VALUE"""),"How to Protect Yourself from Online Fraud")</f>
        <v>How to Protect Yourself from Online Fraud</v>
      </c>
      <c r="C221" s="17" t="str">
        <f>IFERROR(__xludf.DUMMYFUNCTION("""COMPUTED_VALUE"""),"Du bist zu schlau, um auf Internet-Betrug reinzufallen? Falsch gedacht! Technologien werden immer schlauer und damit auch Betrüger:innen. Schütze dich und deine Angehörigen, indem du dich mit den häufigsten Taktiken von Online-Betrüger:innen vertraut mach"&amp;"st.")</f>
        <v>Du bist zu schlau, um auf Internet-Betrug reinzufallen? Falsch gedacht! Technologien werden immer schlauer und damit auch Betrüger:innen. Schütze dich und deine Angehörigen, indem du dich mit den häufigsten Taktiken von Online-Betrüger:innen vertraut machst.</v>
      </c>
      <c r="D221" s="17" t="str">
        <f>IFERROR(__xludf.DUMMYFUNCTION("""COMPUTED_VALUE"""),"Think you're too smart to fall for an internet scam? Think again! As our technology gets smarter, so do scammers. Make sure you're aware of the most common tactics used in online scams, and how you can protect your data, your loved ones, and yourself.")</f>
        <v>Think you're too smart to fall for an internet scam? Think again! As our technology gets smarter, so do scammers. Make sure you're aware of the most common tactics used in online scams, and how you can protect your data, your loved ones, and yourself.</v>
      </c>
      <c r="E221" s="25" t="str">
        <f>IFERROR(__xludf.DUMMYFUNCTION("""COMPUTED_VALUE"""),"Digital Literacy")</f>
        <v>Digital Literacy</v>
      </c>
      <c r="F221" s="19" t="str">
        <f>IFERROR(__xludf.DUMMYFUNCTION("""COMPUTED_VALUE"""),"N26")</f>
        <v>N26</v>
      </c>
      <c r="G221" s="20">
        <f>IFERROR(__xludf.DUMMYFUNCTION("""COMPUTED_VALUE"""),46.0)</f>
        <v>46</v>
      </c>
      <c r="H221" s="20">
        <f>IFERROR(__xludf.DUMMYFUNCTION("""COMPUTED_VALUE"""),15.0)</f>
        <v>15</v>
      </c>
      <c r="I221" s="21" t="str">
        <f>IFERROR(__xludf.DUMMYFUNCTION("""COMPUTED_VALUE"""),"English, German")</f>
        <v>English, German</v>
      </c>
      <c r="J221" s="21" t="str">
        <f>IFERROR(__xludf.DUMMYFUNCTION("""COMPUTED_VALUE"""),"Text only")</f>
        <v>Text only</v>
      </c>
      <c r="K221" s="22">
        <f>IFERROR(__xludf.DUMMYFUNCTION("""COMPUTED_VALUE"""),44952.0)</f>
        <v>44952</v>
      </c>
      <c r="L221" s="23" t="str">
        <f>IFERROR(__xludf.DUMMYFUNCTION("""COMPUTED_VALUE"""),"https://masterplan.com/courses/so-schuetzt-du-dich-vor-betrug-im-netz")</f>
        <v>https://masterplan.com/courses/so-schuetzt-du-dich-vor-betrug-im-netz</v>
      </c>
    </row>
    <row r="222">
      <c r="A222" s="6" t="str">
        <f>IFERROR(__xludf.DUMMYFUNCTION("""COMPUTED_VALUE"""),"Das Pareto Prinzip")</f>
        <v>Das Pareto Prinzip</v>
      </c>
      <c r="B222" s="7" t="str">
        <f>IFERROR(__xludf.DUMMYFUNCTION("""COMPUTED_VALUE"""),"The Pareto Principle")</f>
        <v>The Pareto Principle</v>
      </c>
      <c r="C222" s="8" t="str">
        <f>IFERROR(__xludf.DUMMYFUNCTION("""COMPUTED_VALUE"""),"Du gibst immer und überall 100%? Laut Pareto Prinzip benötigst du allerdings nur 20% Einsatz, um 80% des Ergebnisses zu erreichen. Klingt ziemlich verlockend, nicht wahr? Lass und herausfinden, wie auch du dir 80/20-Regel in Zukunft zu Nutze machen kannst"&amp;"!")</f>
        <v>Du gibst immer und überall 100%? Laut Pareto Prinzip benötigst du allerdings nur 20% Einsatz, um 80% des Ergebnisses zu erreichen. Klingt ziemlich verlockend, nicht wahr? Lass und herausfinden, wie auch du dir 80/20-Regel in Zukunft zu Nutze machen kannst!</v>
      </c>
      <c r="D222" s="8" t="str">
        <f>IFERROR(__xludf.DUMMYFUNCTION("""COMPUTED_VALUE"""),"You always give 100% in everything you do? According to the Pareto Principle, you only need 20% of the effort to achieve 80% of the results. Sounds pretty tempting, doesn't it? Let's find out how you too can take advantage of the 80/20 rule in the future!")</f>
        <v>You always give 100% in everything you do? According to the Pareto Principle, you only need 20% of the effort to achieve 80% of the results. Sounds pretty tempting, doesn't it? Let's find out how you too can take advantage of the 80/20 rule in the future!</v>
      </c>
      <c r="E222" s="24" t="str">
        <f>IFERROR(__xludf.DUMMYFUNCTION("""COMPUTED_VALUE"""),"Emotional Intelligence")</f>
        <v>Emotional Intelligence</v>
      </c>
      <c r="F222" s="10" t="str">
        <f>IFERROR(__xludf.DUMMYFUNCTION("""COMPUTED_VALUE"""),"Masterplan - Matthias Kumer")</f>
        <v>Masterplan - Matthias Kumer</v>
      </c>
      <c r="G222" s="11">
        <f>IFERROR(__xludf.DUMMYFUNCTION("""COMPUTED_VALUE"""),4.0)</f>
        <v>4</v>
      </c>
      <c r="H222" s="11">
        <f>IFERROR(__xludf.DUMMYFUNCTION("""COMPUTED_VALUE"""),3.0)</f>
        <v>3</v>
      </c>
      <c r="I222" s="12" t="str">
        <f>IFERROR(__xludf.DUMMYFUNCTION("""COMPUTED_VALUE"""),"English, German")</f>
        <v>English, German</v>
      </c>
      <c r="J222" s="12" t="str">
        <f>IFERROR(__xludf.DUMMYFUNCTION("""COMPUTED_VALUE"""),"German")</f>
        <v>German</v>
      </c>
      <c r="K222" s="13">
        <f>IFERROR(__xludf.DUMMYFUNCTION("""COMPUTED_VALUE"""),44951.0)</f>
        <v>44951</v>
      </c>
      <c r="L222" s="14" t="str">
        <f>IFERROR(__xludf.DUMMYFUNCTION("""COMPUTED_VALUE"""),"https://masterplan.com/courses/mp-shorts-das-pareto-prinzip")</f>
        <v>https://masterplan.com/courses/mp-shorts-das-pareto-prinzip</v>
      </c>
    </row>
    <row r="223">
      <c r="A223" s="15" t="str">
        <f>IFERROR(__xludf.DUMMYFUNCTION("""COMPUTED_VALUE"""),"Das Parkinsonsche Gesetz")</f>
        <v>Das Parkinsonsche Gesetz</v>
      </c>
      <c r="B223" s="16" t="str">
        <f>IFERROR(__xludf.DUMMYFUNCTION("""COMPUTED_VALUE"""),"Parkinson's Law")</f>
        <v>Parkinson's Law</v>
      </c>
      <c r="C223" s="17" t="str">
        <f>IFERROR(__xludf.DUMMYFUNCTION("""COMPUTED_VALUE"""),"Angenommen, du hast für eine Aufgabe, die du in 30 Minuten erledigst, 15 Minuten mehr Zeit. Wetten, du nutzt die Zeit voll aus? Das liegt am Parkinsonschen Gesetz. Bereit, einen Vorteil rauszuschlagen?")</f>
        <v>Angenommen, du hast für eine Aufgabe, die du in 30 Minuten erledigst, 15 Minuten mehr Zeit. Wetten, du nutzt die Zeit voll aus? Das liegt am Parkinsonschen Gesetz. Bereit, einen Vorteil rauszuschlagen?</v>
      </c>
      <c r="D223" s="17" t="str">
        <f>IFERROR(__xludf.DUMMYFUNCTION("""COMPUTED_VALUE"""),"Let's say you have an extra 15 minutes for a task you normally complete in 30 minutes. Chances are you'll make full use of the time available. What's the reason for that? Parkinson's Law - and you can even use it to your advantage!")</f>
        <v>Let's say you have an extra 15 minutes for a task you normally complete in 30 minutes. Chances are you'll make full use of the time available. What's the reason for that? Parkinson's Law - and you can even use it to your advantage!</v>
      </c>
      <c r="E223" s="24" t="str">
        <f>IFERROR(__xludf.DUMMYFUNCTION("""COMPUTED_VALUE"""),"Emotional Intelligence")</f>
        <v>Emotional Intelligence</v>
      </c>
      <c r="F223" s="19" t="str">
        <f>IFERROR(__xludf.DUMMYFUNCTION("""COMPUTED_VALUE"""),"Masterplan - Matthias Kumer")</f>
        <v>Masterplan - Matthias Kumer</v>
      </c>
      <c r="G223" s="20">
        <f>IFERROR(__xludf.DUMMYFUNCTION("""COMPUTED_VALUE"""),3.0)</f>
        <v>3</v>
      </c>
      <c r="H223" s="20">
        <f>IFERROR(__xludf.DUMMYFUNCTION("""COMPUTED_VALUE"""),3.0)</f>
        <v>3</v>
      </c>
      <c r="I223" s="21" t="str">
        <f>IFERROR(__xludf.DUMMYFUNCTION("""COMPUTED_VALUE"""),"English, German")</f>
        <v>English, German</v>
      </c>
      <c r="J223" s="21" t="str">
        <f>IFERROR(__xludf.DUMMYFUNCTION("""COMPUTED_VALUE"""),"German")</f>
        <v>German</v>
      </c>
      <c r="K223" s="22">
        <f>IFERROR(__xludf.DUMMYFUNCTION("""COMPUTED_VALUE"""),44951.0)</f>
        <v>44951</v>
      </c>
      <c r="L223" s="23" t="str">
        <f>IFERROR(__xludf.DUMMYFUNCTION("""COMPUTED_VALUE"""),"https://masterplan.com/courses/mp-shorts-das-parkinsonsche-gesetz")</f>
        <v>https://masterplan.com/courses/mp-shorts-das-parkinsonsche-gesetz</v>
      </c>
    </row>
    <row r="224">
      <c r="A224" s="6" t="str">
        <f>IFERROR(__xludf.DUMMYFUNCTION("""COMPUTED_VALUE"""),"Multitasking")</f>
        <v>Multitasking</v>
      </c>
      <c r="B224" s="7" t="str">
        <f>IFERROR(__xludf.DUMMYFUNCTION("""COMPUTED_VALUE"""),"Multitasking")</f>
        <v>Multitasking</v>
      </c>
      <c r="C224" s="8" t="str">
        <f>IFERROR(__xludf.DUMMYFUNCTION("""COMPUTED_VALUE"""),"Multitasking – die Lösung, um Aufgaben im Nu abzuarbeiten und Projekte schneller abzuschließen, stimmt's? Das ist leider ein Trugschluss. Lass uns dazu doch ein kleines Experiment machen. Jede Wette, dass dich das Ergebnis ziemlich überraschen wird!")</f>
        <v>Multitasking – die Lösung, um Aufgaben im Nu abzuarbeiten und Projekte schneller abzuschließen, stimmt's? Das ist leider ein Trugschluss. Lass uns dazu doch ein kleines Experiment machen. Jede Wette, dass dich das Ergebnis ziemlich überraschen wird!</v>
      </c>
      <c r="D224" s="8" t="str">
        <f>IFERROR(__xludf.DUMMYFUNCTION("""COMPUTED_VALUE"""),"Multitasking - the solution to working through tasks in no time and completing projects faster, right? Unfortunately, that's a fallacy. Let's do a little experiment on this. You can bet that the results will surprise you!")</f>
        <v>Multitasking - the solution to working through tasks in no time and completing projects faster, right? Unfortunately, that's a fallacy. Let's do a little experiment on this. You can bet that the results will surprise you!</v>
      </c>
      <c r="E224" s="24" t="str">
        <f>IFERROR(__xludf.DUMMYFUNCTION("""COMPUTED_VALUE"""),"Emotional Intelligence")</f>
        <v>Emotional Intelligence</v>
      </c>
      <c r="F224" s="10" t="str">
        <f>IFERROR(__xludf.DUMMYFUNCTION("""COMPUTED_VALUE"""),"Masterplan - Matthias Kumer")</f>
        <v>Masterplan - Matthias Kumer</v>
      </c>
      <c r="G224" s="11">
        <f>IFERROR(__xludf.DUMMYFUNCTION("""COMPUTED_VALUE"""),4.0)</f>
        <v>4</v>
      </c>
      <c r="H224" s="11">
        <f>IFERROR(__xludf.DUMMYFUNCTION("""COMPUTED_VALUE"""),3.0)</f>
        <v>3</v>
      </c>
      <c r="I224" s="12" t="str">
        <f>IFERROR(__xludf.DUMMYFUNCTION("""COMPUTED_VALUE"""),"English, German")</f>
        <v>English, German</v>
      </c>
      <c r="J224" s="12" t="str">
        <f>IFERROR(__xludf.DUMMYFUNCTION("""COMPUTED_VALUE"""),"German")</f>
        <v>German</v>
      </c>
      <c r="K224" s="13">
        <f>IFERROR(__xludf.DUMMYFUNCTION("""COMPUTED_VALUE"""),44946.0)</f>
        <v>44946</v>
      </c>
      <c r="L224" s="14" t="str">
        <f>IFERROR(__xludf.DUMMYFUNCTION("""COMPUTED_VALUE"""),"https://masterplan.com/courses/mp-shorts-multitasking")</f>
        <v>https://masterplan.com/courses/mp-shorts-multitasking</v>
      </c>
    </row>
    <row r="225">
      <c r="A225" s="15" t="str">
        <f>IFERROR(__xludf.DUMMYFUNCTION("""COMPUTED_VALUE"""),"Status Quo Bias")</f>
        <v>Status Quo Bias</v>
      </c>
      <c r="B225" s="16" t="str">
        <f>IFERROR(__xludf.DUMMYFUNCTION("""COMPUTED_VALUE"""),"Status Quo Bias")</f>
        <v>Status Quo Bias</v>
      </c>
      <c r="C225" s="17" t="str">
        <f>IFERROR(__xludf.DUMMYFUNCTION("""COMPUTED_VALUE"""),"""Das haben wir schon immer so gemacht!“ und ""Halt, stopp! Das bleibt alles so wie's hier ist."" – na, kommt dir das bekannt vor? Veränderungen in Beruf und Alltag stehen wir meist kritisch gegenüber und uns damit leider oftmals selbst im Weg...")</f>
        <v>"Das haben wir schon immer so gemacht!“ und "Halt, stopp! Das bleibt alles so wie's hier ist." – na, kommt dir das bekannt vor? Veränderungen in Beruf und Alltag stehen wir meist kritisch gegenüber und uns damit leider oftmals selbst im Weg...</v>
      </c>
      <c r="D225" s="17" t="str">
        <f>IFERROR(__xludf.DUMMYFUNCTION("""COMPUTED_VALUE"""),"""We've always done it this way!"" and ""Everything stays the way it is around here."" - does this sound familiar to you? We are usually critical of change in our work and everyday life and unfortunately often get in our own way...")</f>
        <v>"We've always done it this way!" and "Everything stays the way it is around here." - does this sound familiar to you? We are usually critical of change in our work and everyday life and unfortunately often get in our own way...</v>
      </c>
      <c r="E225" s="29" t="str">
        <f>IFERROR(__xludf.DUMMYFUNCTION("""COMPUTED_VALUE"""),"Thinking and Deciding Clearly")</f>
        <v>Thinking and Deciding Clearly</v>
      </c>
      <c r="F225" s="19" t="str">
        <f>IFERROR(__xludf.DUMMYFUNCTION("""COMPUTED_VALUE"""),"Masterplan - Laura Graichen")</f>
        <v>Masterplan - Laura Graichen</v>
      </c>
      <c r="G225" s="20">
        <f>IFERROR(__xludf.DUMMYFUNCTION("""COMPUTED_VALUE"""),3.0)</f>
        <v>3</v>
      </c>
      <c r="H225" s="20">
        <f>IFERROR(__xludf.DUMMYFUNCTION("""COMPUTED_VALUE"""),3.0)</f>
        <v>3</v>
      </c>
      <c r="I225" s="21" t="str">
        <f>IFERROR(__xludf.DUMMYFUNCTION("""COMPUTED_VALUE"""),"English, German")</f>
        <v>English, German</v>
      </c>
      <c r="J225" s="21" t="str">
        <f>IFERROR(__xludf.DUMMYFUNCTION("""COMPUTED_VALUE"""),"German")</f>
        <v>German</v>
      </c>
      <c r="K225" s="22">
        <f>IFERROR(__xludf.DUMMYFUNCTION("""COMPUTED_VALUE"""),44937.0)</f>
        <v>44937</v>
      </c>
      <c r="L225" s="23" t="str">
        <f>IFERROR(__xludf.DUMMYFUNCTION("""COMPUTED_VALUE"""),"https://masterplan.com/courses/mp-shorts-status-quo-bias")</f>
        <v>https://masterplan.com/courses/mp-shorts-status-quo-bias</v>
      </c>
    </row>
    <row r="226">
      <c r="A226" s="6" t="str">
        <f>IFERROR(__xludf.DUMMYFUNCTION("""COMPUTED_VALUE"""),"The J-Curve Effect")</f>
        <v>The J-Curve Effect</v>
      </c>
      <c r="B226" s="7" t="str">
        <f>IFERROR(__xludf.DUMMYFUNCTION("""COMPUTED_VALUE"""),"The J-Curve Effect")</f>
        <v>The J-Curve Effect</v>
      </c>
      <c r="C226" s="8" t="str">
        <f>IFERROR(__xludf.DUMMYFUNCTION("""COMPUTED_VALUE"""),"Hast du gewusst, dass bis zu 70% aller Change-Projekte scheitern? Grund dafür: Das ""Valley of Death"". Wie du deine Change-Projekte aus dem Tal des Todes rettest und Richtung Zielgerade steuerst, erfährst du in diesem Short!")</f>
        <v>Hast du gewusst, dass bis zu 70% aller Change-Projekte scheitern? Grund dafür: Das "Valley of Death". Wie du deine Change-Projekte aus dem Tal des Todes rettest und Richtung Zielgerade steuerst, erfährst du in diesem Short!</v>
      </c>
      <c r="D226" s="8" t="str">
        <f>IFERROR(__xludf.DUMMYFUNCTION("""COMPUTED_VALUE"""),"Did you know that up to 70% of all change projects fail? The reason for this is the ""Valley of Death"". In this Short, you will learn how to rescue your change projects from the Valley of Death and steer them towards the finish line!")</f>
        <v>Did you know that up to 70% of all change projects fail? The reason for this is the "Valley of Death". In this Short, you will learn how to rescue your change projects from the Valley of Death and steer them towards the finish line!</v>
      </c>
      <c r="E226" s="18" t="str">
        <f>IFERROR(__xludf.DUMMYFUNCTION("""COMPUTED_VALUE"""),"Creativity and Innovation")</f>
        <v>Creativity and Innovation</v>
      </c>
      <c r="F226" s="10" t="str">
        <f>IFERROR(__xludf.DUMMYFUNCTION("""COMPUTED_VALUE"""),"Masterplan - Laura Graichen")</f>
        <v>Masterplan - Laura Graichen</v>
      </c>
      <c r="G226" s="11">
        <f>IFERROR(__xludf.DUMMYFUNCTION("""COMPUTED_VALUE"""),3.0)</f>
        <v>3</v>
      </c>
      <c r="H226" s="11">
        <f>IFERROR(__xludf.DUMMYFUNCTION("""COMPUTED_VALUE"""),3.0)</f>
        <v>3</v>
      </c>
      <c r="I226" s="12" t="str">
        <f>IFERROR(__xludf.DUMMYFUNCTION("""COMPUTED_VALUE"""),"English, German")</f>
        <v>English, German</v>
      </c>
      <c r="J226" s="12" t="str">
        <f>IFERROR(__xludf.DUMMYFUNCTION("""COMPUTED_VALUE"""),"German")</f>
        <v>German</v>
      </c>
      <c r="K226" s="13">
        <f>IFERROR(__xludf.DUMMYFUNCTION("""COMPUTED_VALUE"""),44937.0)</f>
        <v>44937</v>
      </c>
      <c r="L226" s="14" t="str">
        <f>IFERROR(__xludf.DUMMYFUNCTION("""COMPUTED_VALUE"""),"https://masterplan.com/courses/mp-shorts-der-j-kurven-effekt")</f>
        <v>https://masterplan.com/courses/mp-shorts-der-j-kurven-effekt</v>
      </c>
    </row>
    <row r="227">
      <c r="A227" s="15" t="str">
        <f>IFERROR(__xludf.DUMMYFUNCTION("""COMPUTED_VALUE"""),"Theory of Constrains")</f>
        <v>Theory of Constrains</v>
      </c>
      <c r="B227" s="16" t="str">
        <f>IFERROR(__xludf.DUMMYFUNCTION("""COMPUTED_VALUE"""),"Theory of Constrains")</f>
        <v>Theory of Constrains</v>
      </c>
      <c r="C227" s="17" t="str">
        <f>IFERROR(__xludf.DUMMYFUNCTION("""COMPUTED_VALUE"""),"Na, weißt du was Mazda, Ford und Intel gemeinsam haben? Alle drei sind ziemlich erfolgreich in ihrem Business unterwegs – ob sie das wohl der Theory of Constraints zu verdanken haben? Zumindest konnte die Theory of Constraints Mazda 2007 aus einer Krise r"&amp;"etten...")</f>
        <v>Na, weißt du was Mazda, Ford und Intel gemeinsam haben? Alle drei sind ziemlich erfolgreich in ihrem Business unterwegs – ob sie das wohl der Theory of Constraints zu verdanken haben? Zumindest konnte die Theory of Constraints Mazda 2007 aus einer Krise retten...</v>
      </c>
      <c r="D227" s="17" t="str">
        <f>IFERROR(__xludf.DUMMYFUNCTION("""COMPUTED_VALUE"""),"Do you know what Mazda, Ford, and Intel have in common? All three are quite successful businesses - I wonder if they have the Theory of Constraints to thank for that? Well, the Theory of Constraints was at least able to save Mazda from a crisis in 2007...")</f>
        <v>Do you know what Mazda, Ford, and Intel have in common? All three are quite successful businesses - I wonder if they have the Theory of Constraints to thank for that? Well, the Theory of Constraints was at least able to save Mazda from a crisis in 2007...</v>
      </c>
      <c r="E227" s="18" t="str">
        <f>IFERROR(__xludf.DUMMYFUNCTION("""COMPUTED_VALUE"""),"Creativity and Innovation")</f>
        <v>Creativity and Innovation</v>
      </c>
      <c r="F227" s="19" t="str">
        <f>IFERROR(__xludf.DUMMYFUNCTION("""COMPUTED_VALUE"""),"Masterplan - Laura Graichen")</f>
        <v>Masterplan - Laura Graichen</v>
      </c>
      <c r="G227" s="20">
        <f>IFERROR(__xludf.DUMMYFUNCTION("""COMPUTED_VALUE"""),3.0)</f>
        <v>3</v>
      </c>
      <c r="H227" s="20">
        <f>IFERROR(__xludf.DUMMYFUNCTION("""COMPUTED_VALUE"""),3.0)</f>
        <v>3</v>
      </c>
      <c r="I227" s="21" t="str">
        <f>IFERROR(__xludf.DUMMYFUNCTION("""COMPUTED_VALUE"""),"English, German")</f>
        <v>English, German</v>
      </c>
      <c r="J227" s="21" t="str">
        <f>IFERROR(__xludf.DUMMYFUNCTION("""COMPUTED_VALUE"""),"German")</f>
        <v>German</v>
      </c>
      <c r="K227" s="22">
        <f>IFERROR(__xludf.DUMMYFUNCTION("""COMPUTED_VALUE"""),44937.0)</f>
        <v>44937</v>
      </c>
      <c r="L227" s="23" t="str">
        <f>IFERROR(__xludf.DUMMYFUNCTION("""COMPUTED_VALUE"""),"https://masterplan.com/courses/mp-shorts-theory-of-constraints")</f>
        <v>https://masterplan.com/courses/mp-shorts-theory-of-constraints</v>
      </c>
    </row>
    <row r="228">
      <c r="A228" s="6" t="str">
        <f>IFERROR(__xludf.DUMMYFUNCTION("""COMPUTED_VALUE"""),"Kryptowährungen entschlüsselt")</f>
        <v>Kryptowährungen entschlüsselt</v>
      </c>
      <c r="B228" s="7" t="str">
        <f>IFERROR(__xludf.DUMMYFUNCTION("""COMPUTED_VALUE"""),"Cryptocurrency: Decoded")</f>
        <v>Cryptocurrency: Decoded</v>
      </c>
      <c r="C228" s="8" t="str">
        <f>IFERROR(__xludf.DUMMYFUNCTION("""COMPUTED_VALUE"""),"Fühlen sich die Details von Kryptowährungen immer noch ein wenig kryptisch an? Kein Grund zur Sorge - dieser Kurs vermittelt dir ein solides Verständnis von")</f>
        <v>Fühlen sich die Details von Kryptowährungen immer noch ein wenig kryptisch an? Kein Grund zur Sorge - dieser Kurs vermittelt dir ein solides Verständnis von</v>
      </c>
      <c r="D228" s="8" t="str">
        <f>IFERROR(__xludf.DUMMYFUNCTION("""COMPUTED_VALUE"""),"Do the details of cryptocurrency still feel a bit cryptic? Not to worry– this course walks you through all the major cryptocurrencies, from Bitcoin to Cardano, and how they function, so you can make informed decisions about your financial future in a DeFi"&amp;" world.")</f>
        <v>Do the details of cryptocurrency still feel a bit cryptic? Not to worry– this course walks you through all the major cryptocurrencies, from Bitcoin to Cardano, and how they function, so you can make informed decisions about your financial future in a DeFi world.</v>
      </c>
      <c r="E228" s="9" t="str">
        <f>IFERROR(__xludf.DUMMYFUNCTION("""COMPUTED_VALUE"""),"Global Citizenship")</f>
        <v>Global Citizenship</v>
      </c>
      <c r="F228" s="10" t="str">
        <f>IFERROR(__xludf.DUMMYFUNCTION("""COMPUTED_VALUE"""),"N26")</f>
        <v>N26</v>
      </c>
      <c r="G228" s="11">
        <f>IFERROR(__xludf.DUMMYFUNCTION("""COMPUTED_VALUE"""),94.0)</f>
        <v>94</v>
      </c>
      <c r="H228" s="11">
        <f>IFERROR(__xludf.DUMMYFUNCTION("""COMPUTED_VALUE"""),27.0)</f>
        <v>27</v>
      </c>
      <c r="I228" s="12" t="str">
        <f>IFERROR(__xludf.DUMMYFUNCTION("""COMPUTED_VALUE"""),"English, German")</f>
        <v>English, German</v>
      </c>
      <c r="J228" s="12" t="str">
        <f>IFERROR(__xludf.DUMMYFUNCTION("""COMPUTED_VALUE"""),"Text only")</f>
        <v>Text only</v>
      </c>
      <c r="K228" s="13">
        <f>IFERROR(__xludf.DUMMYFUNCTION("""COMPUTED_VALUE"""),44936.0)</f>
        <v>44936</v>
      </c>
      <c r="L228" s="14" t="str">
        <f>IFERROR(__xludf.DUMMYFUNCTION("""COMPUTED_VALUE"""),"https://masterplan.com/courses/kryptowaehrungen-entschluesselt")</f>
        <v>https://masterplan.com/courses/kryptowaehrungen-entschluesselt</v>
      </c>
    </row>
    <row r="229">
      <c r="A229" s="15" t="str">
        <f>IFERROR(__xludf.DUMMYFUNCTION("""COMPUTED_VALUE"""),"Auf den Punkt: Das deutsche Steuersystem")</f>
        <v>Auf den Punkt: Das deutsche Steuersystem</v>
      </c>
      <c r="B229" s="16" t="str">
        <f>IFERROR(__xludf.DUMMYFUNCTION("""COMPUTED_VALUE"""),"A Quick Guide to Taxes in Germany")</f>
        <v>A Quick Guide to Taxes in Germany</v>
      </c>
      <c r="C229" s="17" t="str">
        <f>IFERROR(__xludf.DUMMYFUNCTION("""COMPUTED_VALUE"""),"Wir können weder dem Tod noch der Steuer entkommen - also ist es am besten, vorbereitet zu sein! In diesem Leitfaden erfährst du alles über die Grundlagen der Steuererklärung in Deutschland und die verschiedene Steuerarten für Anlageimmobilien und Erbscha"&amp;"ften.")</f>
        <v>Wir können weder dem Tod noch der Steuer entkommen - also ist es am besten, vorbereitet zu sein! In diesem Leitfaden erfährst du alles über die Grundlagen der Steuererklärung in Deutschland und die verschiedene Steuerarten für Anlageimmobilien und Erbschaften.</v>
      </c>
      <c r="D229" s="17" t="str">
        <f>IFERROR(__xludf.DUMMYFUNCTION("""COMPUTED_VALUE"""),"None of us can escape death or taxes– so it's best to be prepared! This guide walks you through the basics of how to file taxes in Germany, plus the different kinds of taxes that apply to investment properties and inheritance.")</f>
        <v>None of us can escape death or taxes– so it's best to be prepared! This guide walks you through the basics of how to file taxes in Germany, plus the different kinds of taxes that apply to investment properties and inheritance.</v>
      </c>
      <c r="E229" s="9" t="str">
        <f>IFERROR(__xludf.DUMMYFUNCTION("""COMPUTED_VALUE"""),"Global Citizenship")</f>
        <v>Global Citizenship</v>
      </c>
      <c r="F229" s="19" t="str">
        <f>IFERROR(__xludf.DUMMYFUNCTION("""COMPUTED_VALUE"""),"N26")</f>
        <v>N26</v>
      </c>
      <c r="G229" s="20">
        <f>IFERROR(__xludf.DUMMYFUNCTION("""COMPUTED_VALUE"""),32.0)</f>
        <v>32</v>
      </c>
      <c r="H229" s="20">
        <f>IFERROR(__xludf.DUMMYFUNCTION("""COMPUTED_VALUE"""),12.0)</f>
        <v>12</v>
      </c>
      <c r="I229" s="21" t="str">
        <f>IFERROR(__xludf.DUMMYFUNCTION("""COMPUTED_VALUE"""),"English, German")</f>
        <v>English, German</v>
      </c>
      <c r="J229" s="21" t="str">
        <f>IFERROR(__xludf.DUMMYFUNCTION("""COMPUTED_VALUE"""),"Text only")</f>
        <v>Text only</v>
      </c>
      <c r="K229" s="22">
        <f>IFERROR(__xludf.DUMMYFUNCTION("""COMPUTED_VALUE"""),44936.0)</f>
        <v>44936</v>
      </c>
      <c r="L229" s="23" t="str">
        <f>IFERROR(__xludf.DUMMYFUNCTION("""COMPUTED_VALUE"""),"https://masterplan.com/courses/auf-den-punkt-das-deutsche-steuersystem")</f>
        <v>https://masterplan.com/courses/auf-den-punkt-das-deutsche-steuersystem</v>
      </c>
    </row>
    <row r="230">
      <c r="A230" s="6" t="str">
        <f>IFERROR(__xludf.DUMMYFUNCTION("""COMPUTED_VALUE"""),"KI Deep-Dive: Wie ethisch ist KI?")</f>
        <v>KI Deep-Dive: Wie ethisch ist KI?</v>
      </c>
      <c r="B230" s="7" t="str">
        <f>IFERROR(__xludf.DUMMYFUNCTION("""COMPUTED_VALUE"""),"AI Deep Dive: How Ethical Is AI?")</f>
        <v>AI Deep Dive: How Ethical Is AI?</v>
      </c>
      <c r="C230" s="8" t="str">
        <f>IFERROR(__xludf.DUMMYFUNCTION("""COMPUTED_VALUE"""),"Wusstest du, dass KI darüber entscheidet, ob du einen Job bekommst oder Sonderleistungen deiner Krankenkasse erhältst? Eine KI und Algorithmen sollten dann möglichst vertrauensvoll sein. Aber sind sie es wirklich? Wie ethisch sind diese Entscheidungen?")</f>
        <v>Wusstest du, dass KI darüber entscheidet, ob du einen Job bekommst oder Sonderleistungen deiner Krankenkasse erhältst? Eine KI und Algorithmen sollten dann möglichst vertrauensvoll sein. Aber sind sie es wirklich? Wie ethisch sind diese Entscheidungen?</v>
      </c>
      <c r="D230" s="8" t="str">
        <f>IFERROR(__xludf.DUMMYFUNCTION("""COMPUTED_VALUE"""),"Did you know that AI decides whether you get a job or receive special benefits from your health insurance? AI and algorithms should therefore be as trustworthy as possible. But are they really? How ethical are these decisions?")</f>
        <v>Did you know that AI decides whether you get a job or receive special benefits from your health insurance? AI and algorithms should therefore be as trustworthy as possible. But are they really? How ethical are these decisions?</v>
      </c>
      <c r="E230" s="25" t="str">
        <f>IFERROR(__xludf.DUMMYFUNCTION("""COMPUTED_VALUE"""),"Digital Literacy")</f>
        <v>Digital Literacy</v>
      </c>
      <c r="F230" s="10" t="str">
        <f>IFERROR(__xludf.DUMMYFUNCTION("""COMPUTED_VALUE"""),"AI Academy - Gianluca Mauro")</f>
        <v>AI Academy - Gianluca Mauro</v>
      </c>
      <c r="G230" s="11">
        <f>IFERROR(__xludf.DUMMYFUNCTION("""COMPUTED_VALUE"""),51.0)</f>
        <v>51</v>
      </c>
      <c r="H230" s="11">
        <f>IFERROR(__xludf.DUMMYFUNCTION("""COMPUTED_VALUE"""),20.0)</f>
        <v>20</v>
      </c>
      <c r="I230" s="12" t="str">
        <f>IFERROR(__xludf.DUMMYFUNCTION("""COMPUTED_VALUE"""),"English, German")</f>
        <v>English, German</v>
      </c>
      <c r="J230" s="12" t="str">
        <f>IFERROR(__xludf.DUMMYFUNCTION("""COMPUTED_VALUE"""),"English")</f>
        <v>English</v>
      </c>
      <c r="K230" s="13">
        <f>IFERROR(__xludf.DUMMYFUNCTION("""COMPUTED_VALUE"""),44936.0)</f>
        <v>44936</v>
      </c>
      <c r="L230" s="14" t="str">
        <f>IFERROR(__xludf.DUMMYFUNCTION("""COMPUTED_VALUE"""),"https://masterplan.com/courses/ki-deep-dive-ethik")</f>
        <v>https://masterplan.com/courses/ki-deep-dive-ethik</v>
      </c>
    </row>
    <row r="231">
      <c r="A231" s="15" t="str">
        <f>IFERROR(__xludf.DUMMYFUNCTION("""COMPUTED_VALUE"""),"Mitarbeiterengagement: Messen, auswerten, durchstarten!")</f>
        <v>Mitarbeiterengagement: Messen, auswerten, durchstarten!</v>
      </c>
      <c r="B231" s="16" t="str">
        <f>IFERROR(__xludf.DUMMYFUNCTION("""COMPUTED_VALUE"""),"5 Steps to Improve How You Measure Employee Engagement")</f>
        <v>5 Steps to Improve How You Measure Employee Engagement</v>
      </c>
      <c r="C231" s="17" t="str">
        <f>IFERROR(__xludf.DUMMYFUNCTION("""COMPUTED_VALUE"""),"Unternehmen sollten versuchen, das Engagement ihrer Mitarbeitenden zu messen. Warum? Weil hohes Engagement mit höherer Produktivität, geringerer Fluktuation und höheren Umsätzen verbunden ist. Bleib dran für fünf Best Practices zur Messung des Mitarbeiten"&amp;"denengagements!")</f>
        <v>Unternehmen sollten versuchen, das Engagement ihrer Mitarbeitenden zu messen. Warum? Weil hohes Engagement mit höherer Produktivität, geringerer Fluktuation und höheren Umsätzen verbunden ist. Bleib dran für fünf Best Practices zur Messung des Mitarbeitendenengagements!</v>
      </c>
      <c r="D231" s="17" t="str">
        <f>IFERROR(__xludf.DUMMYFUNCTION("""COMPUTED_VALUE"""),"With an eye on future success, organizations should look for ways to measure employee engagement. Why? Because high engagement is related to higher productivity, lower turnover, and higher revenue. Stay tuned for five best practices on measuring employee "&amp;"engagement!")</f>
        <v>With an eye on future success, organizations should look for ways to measure employee engagement. Why? Because high engagement is related to higher productivity, lower turnover, and higher revenue. Stay tuned for five best practices on measuring employee engagement!</v>
      </c>
      <c r="E231" s="9" t="str">
        <f>IFERROR(__xludf.DUMMYFUNCTION("""COMPUTED_VALUE"""),"Global Citizenship")</f>
        <v>Global Citizenship</v>
      </c>
      <c r="F231" s="19" t="str">
        <f>IFERROR(__xludf.DUMMYFUNCTION("""COMPUTED_VALUE"""),"AIHR - Academy to Innovate HR")</f>
        <v>AIHR - Academy to Innovate HR</v>
      </c>
      <c r="G231" s="20">
        <f>IFERROR(__xludf.DUMMYFUNCTION("""COMPUTED_VALUE"""),4.0)</f>
        <v>4</v>
      </c>
      <c r="H231" s="20">
        <f>IFERROR(__xludf.DUMMYFUNCTION("""COMPUTED_VALUE"""),3.0)</f>
        <v>3</v>
      </c>
      <c r="I231" s="21" t="str">
        <f>IFERROR(__xludf.DUMMYFUNCTION("""COMPUTED_VALUE"""),"English, German")</f>
        <v>English, German</v>
      </c>
      <c r="J231" s="21" t="str">
        <f>IFERROR(__xludf.DUMMYFUNCTION("""COMPUTED_VALUE"""),"English")</f>
        <v>English</v>
      </c>
      <c r="K231" s="22">
        <f>IFERROR(__xludf.DUMMYFUNCTION("""COMPUTED_VALUE"""),44918.0)</f>
        <v>44918</v>
      </c>
      <c r="L231" s="23" t="str">
        <f>IFERROR(__xludf.DUMMYFUNCTION("""COMPUTED_VALUE"""),"https://masterplan.com/courses/mitarbeiterengagement-messen-auswerten-durchstarten")</f>
        <v>https://masterplan.com/courses/mitarbeiterengagement-messen-auswerten-durchstarten</v>
      </c>
    </row>
    <row r="232">
      <c r="A232" s="6" t="str">
        <f>IFERROR(__xludf.DUMMYFUNCTION("""COMPUTED_VALUE"""),"Die 5 Grundsteine einer großartigen Employee Value Proposition")</f>
        <v>Die 5 Grundsteine einer großartigen Employee Value Proposition</v>
      </c>
      <c r="B232" s="7" t="str">
        <f>IFERROR(__xludf.DUMMYFUNCTION("""COMPUTED_VALUE"""),"The Employee Value Proposition in a Nutshell")</f>
        <v>The Employee Value Proposition in a Nutshell</v>
      </c>
      <c r="C232" s="8" t="str">
        <f>IFERROR(__xludf.DUMMYFUNCTION("""COMPUTED_VALUE"""),"Ein hervorragendes Wertversprechen für Mitarbeitende (Employee Value Proposition, EVP) kann deine Unternehmenskultur stärken und eine bessere Rekrutierung ermöglichen. Wie kannst du ein gutes EVP erstellen? Es gibt fünf Schlüsselelemente, auf die du achte"&amp;"n solltest...")</f>
        <v>Ein hervorragendes Wertversprechen für Mitarbeitende (Employee Value Proposition, EVP) kann deine Unternehmenskultur stärken und eine bessere Rekrutierung ermöglichen. Wie kannst du ein gutes EVP erstellen? Es gibt fünf Schlüsselelemente, auf die du achten solltest...</v>
      </c>
      <c r="D232" s="8" t="str">
        <f>IFERROR(__xludf.DUMMYFUNCTION("""COMPUTED_VALUE"""),"A great employee value proposition (EVP) can sharpen the identity and culture of your organization, strengthen your employer brand, and facilitate better recruitment overall. How you can create a great EVP? There a five key elements you should focus on...")</f>
        <v>A great employee value proposition (EVP) can sharpen the identity and culture of your organization, strengthen your employer brand, and facilitate better recruitment overall. How you can create a great EVP? There a five key elements you should focus on...</v>
      </c>
      <c r="E232" s="9" t="str">
        <f>IFERROR(__xludf.DUMMYFUNCTION("""COMPUTED_VALUE"""),"Global Citizenship")</f>
        <v>Global Citizenship</v>
      </c>
      <c r="F232" s="10" t="str">
        <f>IFERROR(__xludf.DUMMYFUNCTION("""COMPUTED_VALUE"""),"AIHR - Academy to Innovate HR")</f>
        <v>AIHR - Academy to Innovate HR</v>
      </c>
      <c r="G232" s="11">
        <f>IFERROR(__xludf.DUMMYFUNCTION("""COMPUTED_VALUE"""),7.0)</f>
        <v>7</v>
      </c>
      <c r="H232" s="11">
        <f>IFERROR(__xludf.DUMMYFUNCTION("""COMPUTED_VALUE"""),3.0)</f>
        <v>3</v>
      </c>
      <c r="I232" s="12" t="str">
        <f>IFERROR(__xludf.DUMMYFUNCTION("""COMPUTED_VALUE"""),"English, German")</f>
        <v>English, German</v>
      </c>
      <c r="J232" s="12" t="str">
        <f>IFERROR(__xludf.DUMMYFUNCTION("""COMPUTED_VALUE"""),"English")</f>
        <v>English</v>
      </c>
      <c r="K232" s="13">
        <f>IFERROR(__xludf.DUMMYFUNCTION("""COMPUTED_VALUE"""),44918.0)</f>
        <v>44918</v>
      </c>
      <c r="L232" s="14" t="str">
        <f>IFERROR(__xludf.DUMMYFUNCTION("""COMPUTED_VALUE"""),"https://masterplan.com/courses/die-5-grundsteine-einer-grossartigen-employee-value-proposition")</f>
        <v>https://masterplan.com/courses/die-5-grundsteine-einer-grossartigen-employee-value-proposition</v>
      </c>
    </row>
    <row r="233">
      <c r="A233" s="15" t="str">
        <f>IFERROR(__xludf.DUMMYFUNCTION("""COMPUTED_VALUE"""),"9 Grundpfeiler einer zukunftsstarken Personalstrategie")</f>
        <v>9 Grundpfeiler einer zukunftsstarken Personalstrategie</v>
      </c>
      <c r="B233" s="16" t="str">
        <f>IFERROR(__xludf.DUMMYFUNCTION("""COMPUTED_VALUE""")," 9 Core Elements of a Future-Proof People Strategy")</f>
        <v> 9 Core Elements of a Future-Proof People Strategy</v>
      </c>
      <c r="C233" s="17" t="str">
        <f>IFERROR(__xludf.DUMMYFUNCTION("""COMPUTED_VALUE"""),"Eine Personalstrategie gibt dir eine klare Definition und Formel dafür, wer du als Arbeitgeber:in sein willst. Ohne sie kann die Kultur deines Unternehmens fragmentieren und eine klare Richtung erschweren. Entwickle jetzt eine starke, zukunftssichere Pers"&amp;"onalstrategie!")</f>
        <v>Eine Personalstrategie gibt dir eine klare Definition und Formel dafür, wer du als Arbeitgeber:in sein willst. Ohne sie kann die Kultur deines Unternehmens fragmentieren und eine klare Richtung erschweren. Entwickle jetzt eine starke, zukunftssichere Personalstrategie!</v>
      </c>
      <c r="D233" s="17" t="str">
        <f>IFERROR(__xludf.DUMMYFUNCTION("""COMPUTED_VALUE"""),"With a people strategy you have a clear definition and formula for who you want to be as an employer. Without one your organization's culture may be fragmented and head in an ineffective direction. Press play and build a strong, future-proof people strate"&amp;"gy!")</f>
        <v>With a people strategy you have a clear definition and formula for who you want to be as an employer. Without one your organization's culture may be fragmented and head in an ineffective direction. Press play and build a strong, future-proof people strategy!</v>
      </c>
      <c r="E233" s="26" t="str">
        <f>IFERROR(__xludf.DUMMYFUNCTION("""COMPUTED_VALUE"""),"Collaboration and Leadership")</f>
        <v>Collaboration and Leadership</v>
      </c>
      <c r="F233" s="19" t="str">
        <f>IFERROR(__xludf.DUMMYFUNCTION("""COMPUTED_VALUE"""),"AIHR - Academy to Innovate HR")</f>
        <v>AIHR - Academy to Innovate HR</v>
      </c>
      <c r="G233" s="20">
        <f>IFERROR(__xludf.DUMMYFUNCTION("""COMPUTED_VALUE"""),6.0)</f>
        <v>6</v>
      </c>
      <c r="H233" s="20">
        <f>IFERROR(__xludf.DUMMYFUNCTION("""COMPUTED_VALUE"""),3.0)</f>
        <v>3</v>
      </c>
      <c r="I233" s="21" t="str">
        <f>IFERROR(__xludf.DUMMYFUNCTION("""COMPUTED_VALUE"""),"English, German")</f>
        <v>English, German</v>
      </c>
      <c r="J233" s="21" t="str">
        <f>IFERROR(__xludf.DUMMYFUNCTION("""COMPUTED_VALUE"""),"English")</f>
        <v>English</v>
      </c>
      <c r="K233" s="22">
        <f>IFERROR(__xludf.DUMMYFUNCTION("""COMPUTED_VALUE"""),44915.0)</f>
        <v>44915</v>
      </c>
      <c r="L233" s="23" t="str">
        <f>IFERROR(__xludf.DUMMYFUNCTION("""COMPUTED_VALUE"""),"https://masterplan.com/courses/9-grundpfeiler-einer-zukunftsstarken-personalstrategie")</f>
        <v>https://masterplan.com/courses/9-grundpfeiler-einer-zukunftsstarken-personalstrategie</v>
      </c>
    </row>
    <row r="234">
      <c r="A234" s="6" t="str">
        <f>IFERROR(__xludf.DUMMYFUNCTION("""COMPUTED_VALUE"""),"Agile Personalarbeit – In 5 Schritten zum Erfolg")</f>
        <v>Agile Personalarbeit – In 5 Schritten zum Erfolg</v>
      </c>
      <c r="B234" s="7" t="str">
        <f>IFERROR(__xludf.DUMMYFUNCTION("""COMPUTED_VALUE"""),"How to Make HR Agile in 5 Steps")</f>
        <v>How to Make HR Agile in 5 Steps</v>
      </c>
      <c r="C234" s="8" t="str">
        <f>IFERROR(__xludf.DUMMYFUNCTION("""COMPUTED_VALUE"""),"Kannst du schnell und flexibel auf Situationen reagieren und dich anpassen? Verbessere deine HR-Prozesse mit der agilen Methodik! Mit einigen grundlegenden Schritten in deiner täglichen Arbeit wirst du schnell Vorteile erkennen. Warte nicht auf morgen, fa"&amp;"ng heute an!")</f>
        <v>Kannst du schnell und flexibel auf Situationen reagieren und dich anpassen? Verbessere deine HR-Prozesse mit der agilen Methodik! Mit einigen grundlegenden Schritten in deiner täglichen Arbeit wirst du schnell Vorteile erkennen. Warte nicht auf morgen, fang heute an!</v>
      </c>
      <c r="D234" s="8" t="str">
        <f>IFERROR(__xludf.DUMMYFUNCTION("""COMPUTED_VALUE"""),"Do you respond and adapt to situations with speed and flexibility? Let's improve your HR processes with the agile methodology! By applying a few basics steps in your everyday work you can realize its benefits rapidly. Don't wait for tomorrow, start today!")</f>
        <v>Do you respond and adapt to situations with speed and flexibility? Let's improve your HR processes with the agile methodology! By applying a few basics steps in your everyday work you can realize its benefits rapidly. Don't wait for tomorrow, start today!</v>
      </c>
      <c r="E234" s="9" t="str">
        <f>IFERROR(__xludf.DUMMYFUNCTION("""COMPUTED_VALUE"""),"Global Citizenship")</f>
        <v>Global Citizenship</v>
      </c>
      <c r="F234" s="10" t="str">
        <f>IFERROR(__xludf.DUMMYFUNCTION("""COMPUTED_VALUE"""),"AIHR - Academy to Innovate HR")</f>
        <v>AIHR - Academy to Innovate HR</v>
      </c>
      <c r="G234" s="11">
        <f>IFERROR(__xludf.DUMMYFUNCTION("""COMPUTED_VALUE"""),6.0)</f>
        <v>6</v>
      </c>
      <c r="H234" s="11">
        <f>IFERROR(__xludf.DUMMYFUNCTION("""COMPUTED_VALUE"""),3.0)</f>
        <v>3</v>
      </c>
      <c r="I234" s="12" t="str">
        <f>IFERROR(__xludf.DUMMYFUNCTION("""COMPUTED_VALUE"""),"English, German")</f>
        <v>English, German</v>
      </c>
      <c r="J234" s="12" t="str">
        <f>IFERROR(__xludf.DUMMYFUNCTION("""COMPUTED_VALUE"""),"English")</f>
        <v>English</v>
      </c>
      <c r="K234" s="13">
        <f>IFERROR(__xludf.DUMMYFUNCTION("""COMPUTED_VALUE"""),44915.0)</f>
        <v>44915</v>
      </c>
      <c r="L234" s="14" t="str">
        <f>IFERROR(__xludf.DUMMYFUNCTION("""COMPUTED_VALUE"""),"https://masterplan.com/courses/agile-personalarbeit-in-5-schritten-zum-erfolg")</f>
        <v>https://masterplan.com/courses/agile-personalarbeit-in-5-schritten-zum-erfolg</v>
      </c>
    </row>
    <row r="235">
      <c r="A235" s="15" t="str">
        <f>IFERROR(__xludf.DUMMYFUNCTION("""COMPUTED_VALUE"""),"3 Gründe: Warum Karrierepfade für Unternehmen wichtig sind")</f>
        <v>3 Gründe: Warum Karrierepfade für Unternehmen wichtig sind</v>
      </c>
      <c r="B235" s="16" t="str">
        <f>IFERROR(__xludf.DUMMYFUNCTION("""COMPUTED_VALUE"""),"How Career Pathing Can Help You Win Talent &amp; Boost Engagement")</f>
        <v>How Career Pathing Can Help You Win Talent &amp; Boost Engagement</v>
      </c>
      <c r="C235" s="17" t="str">
        <f>IFERROR(__xludf.DUMMYFUNCTION("""COMPUTED_VALUE"""),"3 Minuten, 3 Gründe: Finden wir heraus, wie Karrierepfade dir dabei helfen können, die Leistung deiner Mitarbeitenden zu verbessern und sie zu halten.")</f>
        <v>3 Minuten, 3 Gründe: Finden wir heraus, wie Karrierepfade dir dabei helfen können, die Leistung deiner Mitarbeitenden zu verbessern und sie zu halten.</v>
      </c>
      <c r="D235" s="17" t="str">
        <f>IFERROR(__xludf.DUMMYFUNCTION("""COMPUTED_VALUE"""),"3 minutes, 3 reasons: let's find out how career pathing can help you improve employee output and retention rates.")</f>
        <v>3 minutes, 3 reasons: let's find out how career pathing can help you improve employee output and retention rates.</v>
      </c>
      <c r="E235" s="9" t="str">
        <f>IFERROR(__xludf.DUMMYFUNCTION("""COMPUTED_VALUE"""),"Global Citizenship")</f>
        <v>Global Citizenship</v>
      </c>
      <c r="F235" s="19" t="str">
        <f>IFERROR(__xludf.DUMMYFUNCTION("""COMPUTED_VALUE"""),"AIHR - Academy to Innovate HR")</f>
        <v>AIHR - Academy to Innovate HR</v>
      </c>
      <c r="G235" s="20">
        <f>IFERROR(__xludf.DUMMYFUNCTION("""COMPUTED_VALUE"""),3.0)</f>
        <v>3</v>
      </c>
      <c r="H235" s="20">
        <f>IFERROR(__xludf.DUMMYFUNCTION("""COMPUTED_VALUE"""),3.0)</f>
        <v>3</v>
      </c>
      <c r="I235" s="21" t="str">
        <f>IFERROR(__xludf.DUMMYFUNCTION("""COMPUTED_VALUE"""),"English, German")</f>
        <v>English, German</v>
      </c>
      <c r="J235" s="21" t="str">
        <f>IFERROR(__xludf.DUMMYFUNCTION("""COMPUTED_VALUE"""),"English")</f>
        <v>English</v>
      </c>
      <c r="K235" s="22">
        <f>IFERROR(__xludf.DUMMYFUNCTION("""COMPUTED_VALUE"""),44911.0)</f>
        <v>44911</v>
      </c>
      <c r="L235" s="23" t="str">
        <f>IFERROR(__xludf.DUMMYFUNCTION("""COMPUTED_VALUE"""),"https://masterplan.com/courses/3-gruende-warum-karrierepfade-fuer-unternehmen-wichtig-sind")</f>
        <v>https://masterplan.com/courses/3-gruende-warum-karrierepfade-fuer-unternehmen-wichtig-sind</v>
      </c>
    </row>
    <row r="236">
      <c r="A236" s="6" t="str">
        <f>IFERROR(__xludf.DUMMYFUNCTION("""COMPUTED_VALUE"""),"Business Essentials I: Erfolgreich Wirtschaften")</f>
        <v>Business Essentials I: Erfolgreich Wirtschaften</v>
      </c>
      <c r="B236" s="7" t="str">
        <f>IFERROR(__xludf.DUMMYFUNCTION("""COMPUTED_VALUE"""),"Business Essentials I: Leading a successful business ")</f>
        <v>Business Essentials I: Leading a successful business </v>
      </c>
      <c r="C236" s="8" t="str">
        <f>IFERROR(__xludf.DUMMYFUNCTION("""COMPUTED_VALUE"""),"Unternehmen haben es heutzutage nicht leicht. Unsere Welt wird immer unbeständiger und komplexer und Unternehmen müssen sich schnell neuen Bedingungen anpassen. Finde heraus, wie du die Herausforderungen mit denen dein Unternehmen konfrontiert ist, souver"&amp;"än meisterst!")</f>
        <v>Unternehmen haben es heutzutage nicht leicht. Unsere Welt wird immer unbeständiger und komplexer und Unternehmen müssen sich schnell neuen Bedingungen anpassen. Finde heraus, wie du die Herausforderungen mit denen dein Unternehmen konfrontiert ist, souverän meisterst!</v>
      </c>
      <c r="D236" s="8" t="str">
        <f>IFERROR(__xludf.DUMMYFUNCTION("""COMPUTED_VALUE"""),"Surviving as a business can be tough these days. Our world is becoming more volatile and complex, and businesses need to adapt quickly to new conditions. Find out how you can master the challenges your company faces!")</f>
        <v>Surviving as a business can be tough these days. Our world is becoming more volatile and complex, and businesses need to adapt quickly to new conditions. Find out how you can master the challenges your company faces!</v>
      </c>
      <c r="E236" s="26" t="str">
        <f>IFERROR(__xludf.DUMMYFUNCTION("""COMPUTED_VALUE"""),"Collaboration and Leadership")</f>
        <v>Collaboration and Leadership</v>
      </c>
      <c r="F236" s="10" t="str">
        <f>IFERROR(__xludf.DUMMYFUNCTION("""COMPUTED_VALUE"""),"You Know GmbH")</f>
        <v>You Know GmbH</v>
      </c>
      <c r="G236" s="11">
        <f>IFERROR(__xludf.DUMMYFUNCTION("""COMPUTED_VALUE"""),9.0)</f>
        <v>9</v>
      </c>
      <c r="H236" s="11">
        <f>IFERROR(__xludf.DUMMYFUNCTION("""COMPUTED_VALUE"""),9.0)</f>
        <v>9</v>
      </c>
      <c r="I236" s="12" t="str">
        <f>IFERROR(__xludf.DUMMYFUNCTION("""COMPUTED_VALUE"""),"English, German")</f>
        <v>English, German</v>
      </c>
      <c r="J236" s="12" t="str">
        <f>IFERROR(__xludf.DUMMYFUNCTION("""COMPUTED_VALUE"""),"German")</f>
        <v>German</v>
      </c>
      <c r="K236" s="13">
        <f>IFERROR(__xludf.DUMMYFUNCTION("""COMPUTED_VALUE"""),44911.0)</f>
        <v>44911</v>
      </c>
      <c r="L236" s="14" t="str">
        <f>IFERROR(__xludf.DUMMYFUNCTION("""COMPUTED_VALUE"""),"https://masterplan.com/courses/business-essentials-i-erfolgreich-wirtschaften")</f>
        <v>https://masterplan.com/courses/business-essentials-i-erfolgreich-wirtschaften</v>
      </c>
    </row>
    <row r="237">
      <c r="A237" s="15" t="str">
        <f>IFERROR(__xludf.DUMMYFUNCTION("""COMPUTED_VALUE"""),"Business Essentials II: Eine positive Unternehmenskultur schaffen ")</f>
        <v>Business Essentials II: Eine positive Unternehmenskultur schaffen </v>
      </c>
      <c r="B237" s="16" t="str">
        <f>IFERROR(__xludf.DUMMYFUNCTION("""COMPUTED_VALUE"""),"Business Essentials II: How to Create a Positive Organizational Culture ")</f>
        <v>Business Essentials II: How to Create a Positive Organizational Culture </v>
      </c>
      <c r="C237" s="17" t="str">
        <f>IFERROR(__xludf.DUMMYFUNCTION("""COMPUTED_VALUE"""),"Eine gute Unternehmenskultur ist ein Gradmesser für Erfolg. Daher ist es wichtig, dass sich alle im unternehmen wohlfühlen und gut miteinander kommunizieren. Mit unseren Feedbackformeln ist das jetzt ganz leicht. ")</f>
        <v>Eine gute Unternehmenskultur ist ein Gradmesser für Erfolg. Daher ist es wichtig, dass sich alle im unternehmen wohlfühlen und gut miteinander kommunizieren. Mit unseren Feedbackformeln ist das jetzt ganz leicht. </v>
      </c>
      <c r="D237" s="17" t="str">
        <f>IFERROR(__xludf.DUMMYFUNCTION("""COMPUTED_VALUE"""),"A good organizational culture is a measure of success. Therefore, it is important that everyone in the company feels comfortable and communicates well with one another. With our feedback formulas, that has become very easy. ")</f>
        <v>A good organizational culture is a measure of success. Therefore, it is important that everyone in the company feels comfortable and communicates well with one another. With our feedback formulas, that has become very easy. </v>
      </c>
      <c r="E237" s="26" t="str">
        <f>IFERROR(__xludf.DUMMYFUNCTION("""COMPUTED_VALUE"""),"Collaboration and Leadership")</f>
        <v>Collaboration and Leadership</v>
      </c>
      <c r="F237" s="19" t="str">
        <f>IFERROR(__xludf.DUMMYFUNCTION("""COMPUTED_VALUE"""),"You Know GmbH")</f>
        <v>You Know GmbH</v>
      </c>
      <c r="G237" s="20">
        <f>IFERROR(__xludf.DUMMYFUNCTION("""COMPUTED_VALUE"""),7.0)</f>
        <v>7</v>
      </c>
      <c r="H237" s="20">
        <f>IFERROR(__xludf.DUMMYFUNCTION("""COMPUTED_VALUE"""),7.0)</f>
        <v>7</v>
      </c>
      <c r="I237" s="21" t="str">
        <f>IFERROR(__xludf.DUMMYFUNCTION("""COMPUTED_VALUE"""),"English, German")</f>
        <v>English, German</v>
      </c>
      <c r="J237" s="21" t="str">
        <f>IFERROR(__xludf.DUMMYFUNCTION("""COMPUTED_VALUE"""),"German")</f>
        <v>German</v>
      </c>
      <c r="K237" s="22">
        <f>IFERROR(__xludf.DUMMYFUNCTION("""COMPUTED_VALUE"""),44911.0)</f>
        <v>44911</v>
      </c>
      <c r="L237" s="23" t="str">
        <f>IFERROR(__xludf.DUMMYFUNCTION("""COMPUTED_VALUE"""),"https://masterplan.com/courses/business-essentials-ii-eine-positive-unternehmenskultur-schaffen")</f>
        <v>https://masterplan.com/courses/business-essentials-ii-eine-positive-unternehmenskultur-schaffen</v>
      </c>
    </row>
    <row r="238">
      <c r="A238" s="6" t="str">
        <f>IFERROR(__xludf.DUMMYFUNCTION("""COMPUTED_VALUE"""),"Lernen &amp; Erklären: Der Spacing-Effekt")</f>
        <v>Lernen &amp; Erklären: Der Spacing-Effekt</v>
      </c>
      <c r="B238" s="7" t="str">
        <f>IFERROR(__xludf.DUMMYFUNCTION("""COMPUTED_VALUE"""),"Learning &amp; Teaching: The Spacing Effect")</f>
        <v>Learning &amp; Teaching: The Spacing Effect</v>
      </c>
      <c r="C238" s="8" t="str">
        <f>IFERROR(__xludf.DUMMYFUNCTION("""COMPUTED_VALUE"""),"Wir Menschen sind wahre Profis, wenn es ums Vergessen geht: Heute noch was gelernt, morgen schon vergessen. Die Lösung? Mach mal Pause! In diesem Short erlernst du eine Lernmethode, bei der du dich auch mal entspannen darfst.")</f>
        <v>Wir Menschen sind wahre Profis, wenn es ums Vergessen geht: Heute noch was gelernt, morgen schon vergessen. Die Lösung? Mach mal Pause! In diesem Short erlernst du eine Lernmethode, bei der du dich auch mal entspannen darfst.</v>
      </c>
      <c r="D238" s="8" t="str">
        <f>IFERROR(__xludf.DUMMYFUNCTION("""COMPUTED_VALUE"""),"We humans are true professionals when it comes to forgetting: Learn something today, forget it tomorrow. The solution? Take a break! In this Short, you'll learn a learning method that allows you to relax.")</f>
        <v>We humans are true professionals when it comes to forgetting: Learn something today, forget it tomorrow. The solution? Take a break! In this Short, you'll learn a learning method that allows you to relax.</v>
      </c>
      <c r="E238" s="24" t="str">
        <f>IFERROR(__xludf.DUMMYFUNCTION("""COMPUTED_VALUE"""),"Emotional Intelligence")</f>
        <v>Emotional Intelligence</v>
      </c>
      <c r="F238" s="10" t="str">
        <f>IFERROR(__xludf.DUMMYFUNCTION("""COMPUTED_VALUE"""),"Masterplan - Kolja Wohlleben")</f>
        <v>Masterplan - Kolja Wohlleben</v>
      </c>
      <c r="G238" s="11">
        <f>IFERROR(__xludf.DUMMYFUNCTION("""COMPUTED_VALUE"""),4.0)</f>
        <v>4</v>
      </c>
      <c r="H238" s="11">
        <f>IFERROR(__xludf.DUMMYFUNCTION("""COMPUTED_VALUE"""),3.0)</f>
        <v>3</v>
      </c>
      <c r="I238" s="12" t="str">
        <f>IFERROR(__xludf.DUMMYFUNCTION("""COMPUTED_VALUE"""),"English, German")</f>
        <v>English, German</v>
      </c>
      <c r="J238" s="12" t="str">
        <f>IFERROR(__xludf.DUMMYFUNCTION("""COMPUTED_VALUE"""),"German")</f>
        <v>German</v>
      </c>
      <c r="K238" s="13">
        <f>IFERROR(__xludf.DUMMYFUNCTION("""COMPUTED_VALUE"""),44909.0)</f>
        <v>44909</v>
      </c>
      <c r="L238" s="14" t="str">
        <f>IFERROR(__xludf.DUMMYFUNCTION("""COMPUTED_VALUE"""),"https://masterplan.com/courses/mp-shorts-der-spacing-effekt")</f>
        <v>https://masterplan.com/courses/mp-shorts-der-spacing-effekt</v>
      </c>
    </row>
    <row r="239">
      <c r="A239" s="15" t="str">
        <f>IFERROR(__xludf.DUMMYFUNCTION("""COMPUTED_VALUE"""),"Lernen &amp; Erklären: Der Verschachtelungs-Effekt")</f>
        <v>Lernen &amp; Erklären: Der Verschachtelungs-Effekt</v>
      </c>
      <c r="B239" s="16" t="str">
        <f>IFERROR(__xludf.DUMMYFUNCTION("""COMPUTED_VALUE"""),"Learning &amp; Teaching: The Interleaving Effect")</f>
        <v>Learning &amp; Teaching: The Interleaving Effect</v>
      </c>
      <c r="C239" s="17" t="str">
        <f>IFERROR(__xludf.DUMMYFUNCTION("""COMPUTED_VALUE"""),"80% aller Lerninhalte sind direkt nach einem Workshop wieder vergessen - bis jetzt! In diesem Short erfährst du, wie du mit verschachteltem Lernen deinen Lernerfolg effektiv steigerst.")</f>
        <v>80% aller Lerninhalte sind direkt nach einem Workshop wieder vergessen - bis jetzt! In diesem Short erfährst du, wie du mit verschachteltem Lernen deinen Lernerfolg effektiv steigerst.</v>
      </c>
      <c r="D239" s="17" t="str">
        <f>IFERROR(__xludf.DUMMYFUNCTION("""COMPUTED_VALUE"""),"80% of all learning content is forgotten immediately after a workshop - up until now! In this short, you will learn how to effectively increase your learning success with interleaved learning.")</f>
        <v>80% of all learning content is forgotten immediately after a workshop - up until now! In this short, you will learn how to effectively increase your learning success with interleaved learning.</v>
      </c>
      <c r="E239" s="24" t="str">
        <f>IFERROR(__xludf.DUMMYFUNCTION("""COMPUTED_VALUE"""),"Emotional Intelligence")</f>
        <v>Emotional Intelligence</v>
      </c>
      <c r="F239" s="19" t="str">
        <f>IFERROR(__xludf.DUMMYFUNCTION("""COMPUTED_VALUE"""),"Masterplan - Kolja Wohlleben")</f>
        <v>Masterplan - Kolja Wohlleben</v>
      </c>
      <c r="G239" s="20">
        <f>IFERROR(__xludf.DUMMYFUNCTION("""COMPUTED_VALUE"""),3.0)</f>
        <v>3</v>
      </c>
      <c r="H239" s="20">
        <f>IFERROR(__xludf.DUMMYFUNCTION("""COMPUTED_VALUE"""),3.0)</f>
        <v>3</v>
      </c>
      <c r="I239" s="21" t="str">
        <f>IFERROR(__xludf.DUMMYFUNCTION("""COMPUTED_VALUE"""),"English, German")</f>
        <v>English, German</v>
      </c>
      <c r="J239" s="21" t="str">
        <f>IFERROR(__xludf.DUMMYFUNCTION("""COMPUTED_VALUE"""),"German")</f>
        <v>German</v>
      </c>
      <c r="K239" s="22">
        <f>IFERROR(__xludf.DUMMYFUNCTION("""COMPUTED_VALUE"""),44909.0)</f>
        <v>44909</v>
      </c>
      <c r="L239" s="23" t="str">
        <f>IFERROR(__xludf.DUMMYFUNCTION("""COMPUTED_VALUE"""),"https://masterplan.com/courses/mp-shorts-verschachteltes-lernen")</f>
        <v>https://masterplan.com/courses/mp-shorts-verschachteltes-lernen</v>
      </c>
    </row>
    <row r="240">
      <c r="A240" s="6" t="str">
        <f>IFERROR(__xludf.DUMMYFUNCTION("""COMPUTED_VALUE"""),"Lernen &amp; Erklären: Die Feynman-Methode")</f>
        <v>Lernen &amp; Erklären: Die Feynman-Methode</v>
      </c>
      <c r="B240" s="7" t="str">
        <f>IFERROR(__xludf.DUMMYFUNCTION("""COMPUTED_VALUE"""),"Learning &amp; Teaching: The Feynman Method")</f>
        <v>Learning &amp; Teaching: The Feynman Method</v>
      </c>
      <c r="C240" s="8" t="str">
        <f>IFERROR(__xludf.DUMMYFUNCTION("""COMPUTED_VALUE"""),"Richard Feynman, seines Zeichens Professor, Nobelpreisträger und Freund einfacher Erklärung. Richtig gelesen! In diesem Short erfährst du, wie du jedes Thema so einfach wie ein Wissens-Ass erklärst. ")</f>
        <v>Richard Feynman, seines Zeichens Professor, Nobelpreisträger und Freund einfacher Erklärung. Richtig gelesen! In diesem Short erfährst du, wie du jedes Thema so einfach wie ein Wissens-Ass erklärst. </v>
      </c>
      <c r="D240" s="8" t="str">
        <f>IFERROR(__xludf.DUMMYFUNCTION("""COMPUTED_VALUE"""),"Richard Feynman, professor, Nobel laureate, and friend of simple explanations. That's right! In this Short, you'll learn how to explain any topic as simply as a knowledge ace. ")</f>
        <v>Richard Feynman, professor, Nobel laureate, and friend of simple explanations. That's right! In this Short, you'll learn how to explain any topic as simply as a knowledge ace. </v>
      </c>
      <c r="E240" s="24" t="str">
        <f>IFERROR(__xludf.DUMMYFUNCTION("""COMPUTED_VALUE"""),"Emotional Intelligence")</f>
        <v>Emotional Intelligence</v>
      </c>
      <c r="F240" s="10" t="str">
        <f>IFERROR(__xludf.DUMMYFUNCTION("""COMPUTED_VALUE"""),"Masterplan - Kolja Wohlleben")</f>
        <v>Masterplan - Kolja Wohlleben</v>
      </c>
      <c r="G240" s="11">
        <f>IFERROR(__xludf.DUMMYFUNCTION("""COMPUTED_VALUE"""),3.0)</f>
        <v>3</v>
      </c>
      <c r="H240" s="11">
        <f>IFERROR(__xludf.DUMMYFUNCTION("""COMPUTED_VALUE"""),3.0)</f>
        <v>3</v>
      </c>
      <c r="I240" s="12" t="str">
        <f>IFERROR(__xludf.DUMMYFUNCTION("""COMPUTED_VALUE"""),"English, German")</f>
        <v>English, German</v>
      </c>
      <c r="J240" s="12" t="str">
        <f>IFERROR(__xludf.DUMMYFUNCTION("""COMPUTED_VALUE"""),"German")</f>
        <v>German</v>
      </c>
      <c r="K240" s="13">
        <f>IFERROR(__xludf.DUMMYFUNCTION("""COMPUTED_VALUE"""),44909.0)</f>
        <v>44909</v>
      </c>
      <c r="L240" s="14" t="str">
        <f>IFERROR(__xludf.DUMMYFUNCTION("""COMPUTED_VALUE"""),"https://masterplan.com/courses/mp-shorts-die-feynman-methode")</f>
        <v>https://masterplan.com/courses/mp-shorts-die-feynman-methode</v>
      </c>
    </row>
    <row r="241">
      <c r="A241" s="15" t="str">
        <f>IFERROR(__xludf.DUMMYFUNCTION("""COMPUTED_VALUE"""),"Recruiting: Warum du eher Zeit als Geld investieren solltest")</f>
        <v>Recruiting: Warum du eher Zeit als Geld investieren solltest</v>
      </c>
      <c r="B241" s="16" t="str">
        <f>IFERROR(__xludf.DUMMYFUNCTION("""COMPUTED_VALUE"""),"Spend More Time on Recruiting – Not Money")</f>
        <v>Spend More Time on Recruiting – Not Money</v>
      </c>
      <c r="C241" s="17" t="str">
        <f>IFERROR(__xludf.DUMMYFUNCTION("""COMPUTED_VALUE"""),"Sourcing, Interview, Onboarding, Assessment - ein Rekrutierungsrahmen, der dir hilft, ein starkes Team aufzubauen. Erfahre mehr über die besten Einstellungsstrategien und -praktiken mithilfe von aufschlussreichen Interviews mit Gründern und CEOs verschied"&amp;"ener Startups.")</f>
        <v>Sourcing, Interview, Onboarding, Assessment - ein Rekrutierungsrahmen, der dir hilft, ein starkes Team aufzubauen. Erfahre mehr über die besten Einstellungsstrategien und -praktiken mithilfe von aufschlussreichen Interviews mit Gründern und CEOs verschiedener Startups.</v>
      </c>
      <c r="D241" s="17" t="str">
        <f>IFERROR(__xludf.DUMMYFUNCTION("""COMPUTED_VALUE"""),"Sourcing, interviewing, onboarding, assessing – a recruiting framework that helps you build a strong team. Learn more about the best hiring strategies and practices through these insightful interviews with founders and CEOs from a variety of startups.")</f>
        <v>Sourcing, interviewing, onboarding, assessing – a recruiting framework that helps you build a strong team. Learn more about the best hiring strategies and practices through these insightful interviews with founders and CEOs from a variety of startups.</v>
      </c>
      <c r="E241" s="9" t="str">
        <f>IFERROR(__xludf.DUMMYFUNCTION("""COMPUTED_VALUE"""),"Global Citizenship")</f>
        <v>Global Citizenship</v>
      </c>
      <c r="F241" s="19" t="str">
        <f>IFERROR(__xludf.DUMMYFUNCTION("""COMPUTED_VALUE"""),"Harvard Business  School - Rock Center for Entrepreneurship")</f>
        <v>Harvard Business  School - Rock Center for Entrepreneurship</v>
      </c>
      <c r="G241" s="20">
        <f>IFERROR(__xludf.DUMMYFUNCTION("""COMPUTED_VALUE"""),13.0)</f>
        <v>13</v>
      </c>
      <c r="H241" s="20">
        <f>IFERROR(__xludf.DUMMYFUNCTION("""COMPUTED_VALUE"""),12.0)</f>
        <v>12</v>
      </c>
      <c r="I241" s="21" t="str">
        <f>IFERROR(__xludf.DUMMYFUNCTION("""COMPUTED_VALUE"""),"English, German")</f>
        <v>English, German</v>
      </c>
      <c r="J241" s="21" t="str">
        <f>IFERROR(__xludf.DUMMYFUNCTION("""COMPUTED_VALUE"""),"English")</f>
        <v>English</v>
      </c>
      <c r="K241" s="22">
        <f>IFERROR(__xludf.DUMMYFUNCTION("""COMPUTED_VALUE"""),44908.0)</f>
        <v>44908</v>
      </c>
      <c r="L241" s="23" t="str">
        <f>IFERROR(__xludf.DUMMYFUNCTION("""COMPUTED_VALUE"""),"https://masterplan.com/courses/recruiting-warum-du-eher-zeit-als-geld-investieren-solltest")</f>
        <v>https://masterplan.com/courses/recruiting-warum-du-eher-zeit-als-geld-investieren-solltest</v>
      </c>
    </row>
    <row r="242">
      <c r="A242" s="6" t="str">
        <f>IFERROR(__xludf.DUMMYFUNCTION("""COMPUTED_VALUE"""),"Informationssicherheit (ISO 27001)")</f>
        <v>Informationssicherheit (ISO 27001)</v>
      </c>
      <c r="B242" s="7" t="str">
        <f>IFERROR(__xludf.DUMMYFUNCTION("""COMPUTED_VALUE"""),"Information Security (ISO 27001)")</f>
        <v>Information Security (ISO 27001)</v>
      </c>
      <c r="C242" s="8" t="str">
        <f>IFERROR(__xludf.DUMMYFUNCTION("""COMPUTED_VALUE"""),"2022 alarmierte das BSI, dass sich die Lage der Cybersicherheit zuspitzt. Jetzt bist du gefragt! Werde zum Informationssicherheitsprofi und schütze dich sowie dein Unternehmen vor Datenlecks und- Diebstahl! Wirst du die Herausforderung meistern?")</f>
        <v>2022 alarmierte das BSI, dass sich die Lage der Cybersicherheit zuspitzt. Jetzt bist du gefragt! Werde zum Informationssicherheitsprofi und schütze dich sowie dein Unternehmen vor Datenlecks und- Diebstahl! Wirst du die Herausforderung meistern?</v>
      </c>
      <c r="D242" s="8" t="str">
        <f>IFERROR(__xludf.DUMMYFUNCTION("""COMPUTED_VALUE"""),"In 2022, the BSI issued an alert concerning the inadequacy of cybersecurity. Now it's your turn! Become an information security professional and protect yourself and your company from data leaks and theft! Are you up to the challenge?")</f>
        <v>In 2022, the BSI issued an alert concerning the inadequacy of cybersecurity. Now it's your turn! Become an information security professional and protect yourself and your company from data leaks and theft! Are you up to the challenge?</v>
      </c>
      <c r="E242" s="25" t="str">
        <f>IFERROR(__xludf.DUMMYFUNCTION("""COMPUTED_VALUE"""),"Digital Literacy")</f>
        <v>Digital Literacy</v>
      </c>
      <c r="F242" s="10" t="str">
        <f>IFERROR(__xludf.DUMMYFUNCTION("""COMPUTED_VALUE"""),"Masterplan - Kolja Wohlleben")</f>
        <v>Masterplan - Kolja Wohlleben</v>
      </c>
      <c r="G242" s="11">
        <f>IFERROR(__xludf.DUMMYFUNCTION("""COMPUTED_VALUE"""),30.0)</f>
        <v>30</v>
      </c>
      <c r="H242" s="11">
        <f>IFERROR(__xludf.DUMMYFUNCTION("""COMPUTED_VALUE"""),18.0)</f>
        <v>18</v>
      </c>
      <c r="I242" s="12" t="str">
        <f>IFERROR(__xludf.DUMMYFUNCTION("""COMPUTED_VALUE"""),"English, German")</f>
        <v>English, German</v>
      </c>
      <c r="J242" s="12" t="str">
        <f>IFERROR(__xludf.DUMMYFUNCTION("""COMPUTED_VALUE"""),"German")</f>
        <v>German</v>
      </c>
      <c r="K242" s="13">
        <f>IFERROR(__xludf.DUMMYFUNCTION("""COMPUTED_VALUE"""),44902.0)</f>
        <v>44902</v>
      </c>
      <c r="L242" s="14" t="str">
        <f>IFERROR(__xludf.DUMMYFUNCTION("""COMPUTED_VALUE"""),"https://masterplan.com/courses/informationssicherheit-iso-27001")</f>
        <v>https://masterplan.com/courses/informationssicherheit-iso-27001</v>
      </c>
    </row>
    <row r="243">
      <c r="A243" s="15" t="str">
        <f>IFERROR(__xludf.DUMMYFUNCTION("""COMPUTED_VALUE"""),"Das 1x1 der Google-Suche")</f>
        <v>Das 1x1 der Google-Suche</v>
      </c>
      <c r="B243" s="16" t="str">
        <f>IFERROR(__xludf.DUMMYFUNCTION("""COMPUTED_VALUE"""),"The Basics of Google Search")</f>
        <v>The Basics of Google Search</v>
      </c>
      <c r="C243" s="17" t="str">
        <f>IFERROR(__xludf.DUMMYFUNCTION("""COMPUTED_VALUE"""),"Gibt es einen Weg, deine Google-Suchanfragen maximal zu präzisieren? Wie gelangen Webseiten eigentlich in die Suchergebnisse? Dank unserer kleinen Google-Anleitung wirst du nie wieder deiner Zeit mit langem Recherchieren vergeuden! ")</f>
        <v>Gibt es einen Weg, deine Google-Suchanfragen maximal zu präzisieren? Wie gelangen Webseiten eigentlich in die Suchergebnisse? Dank unserer kleinen Google-Anleitung wirst du nie wieder deiner Zeit mit langem Recherchieren vergeuden! </v>
      </c>
      <c r="D243" s="17" t="str">
        <f>IFERROR(__xludf.DUMMYFUNCTION("""COMPUTED_VALUE"""),"Is there a way to maximize the precision of your Google search queries? How do web pages actually get into the search results? Thanks to our little Google guide, you will no longer waste your time with endless research! ")</f>
        <v>Is there a way to maximize the precision of your Google search queries? How do web pages actually get into the search results? Thanks to our little Google guide, you will no longer waste your time with endless research! </v>
      </c>
      <c r="E243" s="27" t="str">
        <f>IFERROR(__xludf.DUMMYFUNCTION("""COMPUTED_VALUE"""),"Tools &amp; Tutorials")</f>
        <v>Tools &amp; Tutorials</v>
      </c>
      <c r="F243" s="19" t="str">
        <f>IFERROR(__xludf.DUMMYFUNCTION("""COMPUTED_VALUE"""),"Google")</f>
        <v>Google</v>
      </c>
      <c r="G243" s="20">
        <f>IFERROR(__xludf.DUMMYFUNCTION("""COMPUTED_VALUE"""),9.0)</f>
        <v>9</v>
      </c>
      <c r="H243" s="20">
        <f>IFERROR(__xludf.DUMMYFUNCTION("""COMPUTED_VALUE"""),4.0)</f>
        <v>4</v>
      </c>
      <c r="I243" s="21" t="str">
        <f>IFERROR(__xludf.DUMMYFUNCTION("""COMPUTED_VALUE"""),"English, German")</f>
        <v>English, German</v>
      </c>
      <c r="J243" s="21" t="str">
        <f>IFERROR(__xludf.DUMMYFUNCTION("""COMPUTED_VALUE"""),"English")</f>
        <v>English</v>
      </c>
      <c r="K243" s="22">
        <f>IFERROR(__xludf.DUMMYFUNCTION("""COMPUTED_VALUE"""),44902.0)</f>
        <v>44902</v>
      </c>
      <c r="L243" s="23" t="str">
        <f>IFERROR(__xludf.DUMMYFUNCTION("""COMPUTED_VALUE"""),"https://masterplan.com/courses/das-1x1-der-google-suche")</f>
        <v>https://masterplan.com/courses/das-1x1-der-google-suche</v>
      </c>
    </row>
    <row r="244">
      <c r="A244" s="6" t="str">
        <f>IFERROR(__xludf.DUMMYFUNCTION("""COMPUTED_VALUE"""),"Nachhaltige Geschäftsmodelle IV: Soziale Innovation")</f>
        <v>Nachhaltige Geschäftsmodelle IV: Soziale Innovation</v>
      </c>
      <c r="B244" s="7" t="str">
        <f>IFERROR(__xludf.DUMMYFUNCTION("""COMPUTED_VALUE"""),"Social Innovation")</f>
        <v>Social Innovation</v>
      </c>
      <c r="C244" s="8" t="str">
        <f>IFERROR(__xludf.DUMMYFUNCTION("""COMPUTED_VALUE"""),"Was genau ist soziale Innovation und welche Rolle spielt sie beim Aufbau einer nachhaltigen Zukunft?  In Teil vier unserer Serie über nachhaltige Geschäftsmodelle lernst du anhand von Beispielen die wichtigsten Variablen zur Bewertung sozialer Innovatione"&amp;"n kennen.")</f>
        <v>Was genau ist soziale Innovation und welche Rolle spielt sie beim Aufbau einer nachhaltigen Zukunft?  In Teil vier unserer Serie über nachhaltige Geschäftsmodelle lernst du anhand von Beispielen die wichtigsten Variablen zur Bewertung sozialer Innovationen kennen.</v>
      </c>
      <c r="D244" s="8" t="str">
        <f>IFERROR(__xludf.DUMMYFUNCTION("""COMPUTED_VALUE"""),"What exactly is social innovation, and what is its role in building a sustainable economic future?  In part four of our series on sustainable business models, learn about the key variables used to assess social innovation through looking at cases like Bla"&amp;"BlaCar.")</f>
        <v>What exactly is social innovation, and what is its role in building a sustainable economic future?  In part four of our series on sustainable business models, learn about the key variables used to assess social innovation through looking at cases like BlaBlaCar.</v>
      </c>
      <c r="E244" s="9" t="str">
        <f>IFERROR(__xludf.DUMMYFUNCTION("""COMPUTED_VALUE"""),"Global Citizenship")</f>
        <v>Global Citizenship</v>
      </c>
      <c r="F244" s="10" t="str">
        <f>IFERROR(__xludf.DUMMYFUNCTION("""COMPUTED_VALUE"""),"SUSTBUS - Sustainable Business Models")</f>
        <v>SUSTBUS - Sustainable Business Models</v>
      </c>
      <c r="G244" s="11">
        <f>IFERROR(__xludf.DUMMYFUNCTION("""COMPUTED_VALUE"""),30.0)</f>
        <v>30</v>
      </c>
      <c r="H244" s="11">
        <f>IFERROR(__xludf.DUMMYFUNCTION("""COMPUTED_VALUE"""),13.0)</f>
        <v>13</v>
      </c>
      <c r="I244" s="12" t="str">
        <f>IFERROR(__xludf.DUMMYFUNCTION("""COMPUTED_VALUE"""),"English, German")</f>
        <v>English, German</v>
      </c>
      <c r="J244" s="12" t="str">
        <f>IFERROR(__xludf.DUMMYFUNCTION("""COMPUTED_VALUE"""),"English")</f>
        <v>English</v>
      </c>
      <c r="K244" s="13">
        <f>IFERROR(__xludf.DUMMYFUNCTION("""COMPUTED_VALUE"""),44895.0)</f>
        <v>44895</v>
      </c>
      <c r="L244" s="14" t="str">
        <f>IFERROR(__xludf.DUMMYFUNCTION("""COMPUTED_VALUE"""),"https://masterplan.com/courses/nachhaltige-geschaeftsmodelle-iv-soziale-innovation")</f>
        <v>https://masterplan.com/courses/nachhaltige-geschaeftsmodelle-iv-soziale-innovation</v>
      </c>
    </row>
    <row r="245">
      <c r="A245" s="15" t="str">
        <f>IFERROR(__xludf.DUMMYFUNCTION("""COMPUTED_VALUE"""),"Nachhaltige Geschäftsmodelle V: Strategien und Organisation für mehr Nachhaltigkeit")</f>
        <v>Nachhaltige Geschäftsmodelle V: Strategien und Organisation für mehr Nachhaltigkeit</v>
      </c>
      <c r="B245" s="16" t="str">
        <f>IFERROR(__xludf.DUMMYFUNCTION("""COMPUTED_VALUE"""),"Strategizing and Organizing for Sustainability")</f>
        <v>Strategizing and Organizing for Sustainability</v>
      </c>
      <c r="C245" s="17" t="str">
        <f>IFERROR(__xludf.DUMMYFUNCTION("""COMPUTED_VALUE"""),"Unternehmen können viel zur Bekämpfung des Klimawandels beitragen! Erfahre von Pionierunternehmen, die den Weg für die Nachhaltigkeit ebnen, wie dein Unternehmen Gewinne erzielen und gleichzeitig einen ökologischen und sozialen Mehrwert schaffen kann.")</f>
        <v>Unternehmen können viel zur Bekämpfung des Klimawandels beitragen! Erfahre von Pionierunternehmen, die den Weg für die Nachhaltigkeit ebnen, wie dein Unternehmen Gewinne erzielen und gleichzeitig einen ökologischen und sozialen Mehrwert schaffen kann.</v>
      </c>
      <c r="D245" s="17" t="str">
        <f>IFERROR(__xludf.DUMMYFUNCTION("""COMPUTED_VALUE"""),"Companies can do a lot to combat climate change! Learn from pioneer companies paving the way for sustainability about how your company can make a profit while also generating environmental and social value.  ")</f>
        <v>Companies can do a lot to combat climate change! Learn from pioneer companies paving the way for sustainability about how your company can make a profit while also generating environmental and social value.  </v>
      </c>
      <c r="E245" s="9" t="str">
        <f>IFERROR(__xludf.DUMMYFUNCTION("""COMPUTED_VALUE"""),"Global Citizenship")</f>
        <v>Global Citizenship</v>
      </c>
      <c r="F245" s="19" t="str">
        <f>IFERROR(__xludf.DUMMYFUNCTION("""COMPUTED_VALUE"""),"SUSTBUS - Sustainable Business Models")</f>
        <v>SUSTBUS - Sustainable Business Models</v>
      </c>
      <c r="G245" s="20">
        <f>IFERROR(__xludf.DUMMYFUNCTION("""COMPUTED_VALUE"""),38.0)</f>
        <v>38</v>
      </c>
      <c r="H245" s="20">
        <f>IFERROR(__xludf.DUMMYFUNCTION("""COMPUTED_VALUE"""),13.0)</f>
        <v>13</v>
      </c>
      <c r="I245" s="21" t="str">
        <f>IFERROR(__xludf.DUMMYFUNCTION("""COMPUTED_VALUE"""),"English, German")</f>
        <v>English, German</v>
      </c>
      <c r="J245" s="21" t="str">
        <f>IFERROR(__xludf.DUMMYFUNCTION("""COMPUTED_VALUE"""),"English")</f>
        <v>English</v>
      </c>
      <c r="K245" s="22">
        <f>IFERROR(__xludf.DUMMYFUNCTION("""COMPUTED_VALUE"""),44895.0)</f>
        <v>44895</v>
      </c>
      <c r="L245" s="23" t="str">
        <f>IFERROR(__xludf.DUMMYFUNCTION("""COMPUTED_VALUE"""),"https://masterplan.com/courses/nachhaltige-geschaeftsmodelle-v-strategien-und-organisation-fuer-mehr-nachhaltigkeit")</f>
        <v>https://masterplan.com/courses/nachhaltige-geschaeftsmodelle-v-strategien-und-organisation-fuer-mehr-nachhaltigkeit</v>
      </c>
    </row>
    <row r="246">
      <c r="A246" s="6" t="str">
        <f>IFERROR(__xludf.DUMMYFUNCTION("""COMPUTED_VALUE"""),"Nachhaltige Geschäftsmodelle VI: Unternehmen in einer nachhaltigen Zukunft")</f>
        <v>Nachhaltige Geschäftsmodelle VI: Unternehmen in einer nachhaltigen Zukunft</v>
      </c>
      <c r="B246" s="7" t="str">
        <f>IFERROR(__xludf.DUMMYFUNCTION("""COMPUTED_VALUE"""),"Businesses in a Sustainable Future")</f>
        <v>Businesses in a Sustainable Future</v>
      </c>
      <c r="C246" s="8" t="str">
        <f>IFERROR(__xludf.DUMMYFUNCTION("""COMPUTED_VALUE"""),"Es geht ums Erkennen,  Überdenken, Neu-Erfinden und  Reorganisieren! Bist du bereit, dein Geschäftsmodell neu zu gestalten? Hier findest du einen  Nachhaltigkeits-Fahrplan, der dir hilft, den Wandel zu vollziehen, den unsere Umwelt braucht.")</f>
        <v>Es geht ums Erkennen,  Überdenken, Neu-Erfinden und  Reorganisieren! Bist du bereit, dein Geschäftsmodell neu zu gestalten? Hier findest du einen  Nachhaltigkeits-Fahrplan, der dir hilft, den Wandel zu vollziehen, den unsere Umwelt braucht.</v>
      </c>
      <c r="D246" s="8" t="str">
        <f>IFERROR(__xludf.DUMMYFUNCTION("""COMPUTED_VALUE"""),"It's all about recognizing, rethinking, reinventing, and reorganizing! Are you ready to RESTART your business model for success in the future? Here you'll find a roadmap to sustainability which helps you to be the change our environment desperately needs.")</f>
        <v>It's all about recognizing, rethinking, reinventing, and reorganizing! Are you ready to RESTART your business model for success in the future? Here you'll find a roadmap to sustainability which helps you to be the change our environment desperately needs.</v>
      </c>
      <c r="E246" s="9" t="str">
        <f>IFERROR(__xludf.DUMMYFUNCTION("""COMPUTED_VALUE"""),"Global Citizenship")</f>
        <v>Global Citizenship</v>
      </c>
      <c r="F246" s="10" t="str">
        <f>IFERROR(__xludf.DUMMYFUNCTION("""COMPUTED_VALUE"""),"SUSTBUS - Sustainable Business Models")</f>
        <v>SUSTBUS - Sustainable Business Models</v>
      </c>
      <c r="G246" s="11">
        <f>IFERROR(__xludf.DUMMYFUNCTION("""COMPUTED_VALUE"""),34.0)</f>
        <v>34</v>
      </c>
      <c r="H246" s="11">
        <f>IFERROR(__xludf.DUMMYFUNCTION("""COMPUTED_VALUE"""),11.0)</f>
        <v>11</v>
      </c>
      <c r="I246" s="12" t="str">
        <f>IFERROR(__xludf.DUMMYFUNCTION("""COMPUTED_VALUE"""),"English, German")</f>
        <v>English, German</v>
      </c>
      <c r="J246" s="12" t="str">
        <f>IFERROR(__xludf.DUMMYFUNCTION("""COMPUTED_VALUE"""),"English")</f>
        <v>English</v>
      </c>
      <c r="K246" s="13">
        <f>IFERROR(__xludf.DUMMYFUNCTION("""COMPUTED_VALUE"""),44895.0)</f>
        <v>44895</v>
      </c>
      <c r="L246" s="14" t="str">
        <f>IFERROR(__xludf.DUMMYFUNCTION("""COMPUTED_VALUE"""),"https://masterplan.com/courses/nachhaltige-geschaeftsmodelle-vi-unternehmen-in-einer-nachhaltigen-zukunft")</f>
        <v>https://masterplan.com/courses/nachhaltige-geschaeftsmodelle-vi-unternehmen-in-einer-nachhaltigen-zukunft</v>
      </c>
    </row>
    <row r="247">
      <c r="A247" s="15" t="str">
        <f>IFERROR(__xludf.DUMMYFUNCTION("""COMPUTED_VALUE"""),"Rhetorik &amp; Kommunikation: Die Dreier-Regel")</f>
        <v>Rhetorik &amp; Kommunikation: Die Dreier-Regel</v>
      </c>
      <c r="B247" s="16" t="str">
        <f>IFERROR(__xludf.DUMMYFUNCTION("""COMPUTED_VALUE"""),"Rhetoric &amp; Communication: The Rule of Three")</f>
        <v>Rhetoric &amp; Communication: The Rule of Three</v>
      </c>
      <c r="C247" s="17" t="str">
        <f>IFERROR(__xludf.DUMMYFUNCTION("""COMPUTED_VALUE"""),"Was haben der ehemalige Römische Staatsmann Julius Cäsar und der bekannte Schokoladenhersteller Ritter Sport gemeinsam? Beide bedienen sich der Macht des Dreiklangs! Auch Lust, dein Rhetorik-Game auf's nächste Level zu bringen? Dann staune, lerne und prof"&amp;"itiere!")</f>
        <v>Was haben der ehemalige Römische Staatsmann Julius Cäsar und der bekannte Schokoladenhersteller Ritter Sport gemeinsam? Beide bedienen sich der Macht des Dreiklangs! Auch Lust, dein Rhetorik-Game auf's nächste Level zu bringen? Dann staune, lerne und profitiere!</v>
      </c>
      <c r="D247" s="17" t="str">
        <f>IFERROR(__xludf.DUMMYFUNCTION("""COMPUTED_VALUE"""),"What do the former Roman statesman Julius Caesar and the well-known chocolate manufacturer Ritter Sport have in common? Both use the power of the triad! Would you like to take your rhetoric game to the next level? Then be amazed, learn, and profit!")</f>
        <v>What do the former Roman statesman Julius Caesar and the well-known chocolate manufacturer Ritter Sport have in common? Both use the power of the triad! Would you like to take your rhetoric game to the next level? Then be amazed, learn, and profit!</v>
      </c>
      <c r="E247" s="28" t="str">
        <f>IFERROR(__xludf.DUMMYFUNCTION("""COMPUTED_VALUE"""),"Communication")</f>
        <v>Communication</v>
      </c>
      <c r="F247" s="19" t="str">
        <f>IFERROR(__xludf.DUMMYFUNCTION("""COMPUTED_VALUE"""),"Masterplan - Laura Graichen")</f>
        <v>Masterplan - Laura Graichen</v>
      </c>
      <c r="G247" s="20">
        <f>IFERROR(__xludf.DUMMYFUNCTION("""COMPUTED_VALUE"""),4.0)</f>
        <v>4</v>
      </c>
      <c r="H247" s="20">
        <f>IFERROR(__xludf.DUMMYFUNCTION("""COMPUTED_VALUE"""),3.0)</f>
        <v>3</v>
      </c>
      <c r="I247" s="21" t="str">
        <f>IFERROR(__xludf.DUMMYFUNCTION("""COMPUTED_VALUE"""),"English, German")</f>
        <v>English, German</v>
      </c>
      <c r="J247" s="21" t="str">
        <f>IFERROR(__xludf.DUMMYFUNCTION("""COMPUTED_VALUE"""),"German")</f>
        <v>German</v>
      </c>
      <c r="K247" s="22">
        <f>IFERROR(__xludf.DUMMYFUNCTION("""COMPUTED_VALUE"""),44895.0)</f>
        <v>44895</v>
      </c>
      <c r="L247" s="23" t="str">
        <f>IFERROR(__xludf.DUMMYFUNCTION("""COMPUTED_VALUE"""),"https://masterplan.com/courses/mp-shorts-die-dreier-regel")</f>
        <v>https://masterplan.com/courses/mp-shorts-die-dreier-regel</v>
      </c>
    </row>
    <row r="248">
      <c r="A248" s="6" t="str">
        <f>IFERROR(__xludf.DUMMYFUNCTION("""COMPUTED_VALUE"""),"Rhetorik &amp; Kommunikation: Der Framing-Effekt")</f>
        <v>Rhetorik &amp; Kommunikation: Der Framing-Effekt</v>
      </c>
      <c r="B248" s="7" t="str">
        <f>IFERROR(__xludf.DUMMYFUNCTION("""COMPUTED_VALUE"""),"Rhetoric &amp; Communication: The Framing Effect")</f>
        <v>Rhetoric &amp; Communication: The Framing Effect</v>
      </c>
      <c r="C248" s="8" t="str">
        <f>IFERROR(__xludf.DUMMYFUNCTION("""COMPUTED_VALUE"""),"Zwei Wasserflaschen – eine aus 70% recyceltem Plastik, die andere aus 30% ""normalem"" Plastik. Die selbe Information, unterschiedlich formuliert – mit großer Wirkung, oder? Finde heraus, wie du den Framing-Effekt in Zukunft zu deinem Vorteil zum Einsatz "&amp;"bringst!")</f>
        <v>Zwei Wasserflaschen – eine aus 70% recyceltem Plastik, die andere aus 30% "normalem" Plastik. Die selbe Information, unterschiedlich formuliert – mit großer Wirkung, oder? Finde heraus, wie du den Framing-Effekt in Zukunft zu deinem Vorteil zum Einsatz bringst!</v>
      </c>
      <c r="D248" s="8" t="str">
        <f>IFERROR(__xludf.DUMMYFUNCTION("""COMPUTED_VALUE"""),"Two water bottles - one made from 70% recycled plastic, the other from 30% ""normal"" plastic. The same information, worded differently - with great effect, right? Find out how you can use the framing effect to your advantage in the future!")</f>
        <v>Two water bottles - one made from 70% recycled plastic, the other from 30% "normal" plastic. The same information, worded differently - with great effect, right? Find out how you can use the framing effect to your advantage in the future!</v>
      </c>
      <c r="E248" s="28" t="str">
        <f>IFERROR(__xludf.DUMMYFUNCTION("""COMPUTED_VALUE"""),"Communication")</f>
        <v>Communication</v>
      </c>
      <c r="F248" s="10" t="str">
        <f>IFERROR(__xludf.DUMMYFUNCTION("""COMPUTED_VALUE"""),"Masterplan - Laura Graichen")</f>
        <v>Masterplan - Laura Graichen</v>
      </c>
      <c r="G248" s="11">
        <f>IFERROR(__xludf.DUMMYFUNCTION("""COMPUTED_VALUE"""),4.0)</f>
        <v>4</v>
      </c>
      <c r="H248" s="11">
        <f>IFERROR(__xludf.DUMMYFUNCTION("""COMPUTED_VALUE"""),3.0)</f>
        <v>3</v>
      </c>
      <c r="I248" s="12" t="str">
        <f>IFERROR(__xludf.DUMMYFUNCTION("""COMPUTED_VALUE"""),"English, German")</f>
        <v>English, German</v>
      </c>
      <c r="J248" s="12" t="str">
        <f>IFERROR(__xludf.DUMMYFUNCTION("""COMPUTED_VALUE"""),"German")</f>
        <v>German</v>
      </c>
      <c r="K248" s="13">
        <f>IFERROR(__xludf.DUMMYFUNCTION("""COMPUTED_VALUE"""),44895.0)</f>
        <v>44895</v>
      </c>
      <c r="L248" s="14" t="str">
        <f>IFERROR(__xludf.DUMMYFUNCTION("""COMPUTED_VALUE"""),"https://masterplan.com/courses/mp-shorts-der-framing-effekt")</f>
        <v>https://masterplan.com/courses/mp-shorts-der-framing-effekt</v>
      </c>
    </row>
    <row r="249">
      <c r="A249" s="15" t="str">
        <f>IFERROR(__xludf.DUMMYFUNCTION("""COMPUTED_VALUE"""),"Rhetorik &amp; Kommunikation: Die Minto-Pyramide")</f>
        <v>Rhetorik &amp; Kommunikation: Die Minto-Pyramide</v>
      </c>
      <c r="B249" s="16" t="str">
        <f>IFERROR(__xludf.DUMMYFUNCTION("""COMPUTED_VALUE"""),"Rhetoric &amp; Communication: The Minto Pyramid")</f>
        <v>Rhetoric &amp; Communication: The Minto Pyramid</v>
      </c>
      <c r="C249" s="17" t="str">
        <f>IFERROR(__xludf.DUMMYFUNCTION("""COMPUTED_VALUE"""),"Wie du noch vor deinem zweiten Satz die Aufmerksamkeit deines Gegenübers auf dich und dein Anliegen gezogen hast? ""BLUF"" lautet das Stichwort in diesem Short. Lass uns deine Vorträge, E-Mails und Co. künftig auf den Kopf stellen!")</f>
        <v>Wie du noch vor deinem zweiten Satz die Aufmerksamkeit deines Gegenübers auf dich und dein Anliegen gezogen hast? "BLUF" lautet das Stichwort in diesem Short. Lass uns deine Vorträge, E-Mails und Co. künftig auf den Kopf stellen!</v>
      </c>
      <c r="D249" s="17" t="str">
        <f>IFERROR(__xludf.DUMMYFUNCTION("""COMPUTED_VALUE"""),"How to get the attention of the person you're talking to before you even finish your second sentence? ""BLUF"" is the keyword in this short. Let's turn your lectures, e-mails, and the like upside down in the future!")</f>
        <v>How to get the attention of the person you're talking to before you even finish your second sentence? "BLUF" is the keyword in this short. Let's turn your lectures, e-mails, and the like upside down in the future!</v>
      </c>
      <c r="E249" s="28" t="str">
        <f>IFERROR(__xludf.DUMMYFUNCTION("""COMPUTED_VALUE"""),"Communication")</f>
        <v>Communication</v>
      </c>
      <c r="F249" s="19" t="str">
        <f>IFERROR(__xludf.DUMMYFUNCTION("""COMPUTED_VALUE"""),"Masterplan - Laura Graichen")</f>
        <v>Masterplan - Laura Graichen</v>
      </c>
      <c r="G249" s="20">
        <f>IFERROR(__xludf.DUMMYFUNCTION("""COMPUTED_VALUE"""),3.0)</f>
        <v>3</v>
      </c>
      <c r="H249" s="20">
        <f>IFERROR(__xludf.DUMMYFUNCTION("""COMPUTED_VALUE"""),3.0)</f>
        <v>3</v>
      </c>
      <c r="I249" s="21" t="str">
        <f>IFERROR(__xludf.DUMMYFUNCTION("""COMPUTED_VALUE"""),"English, German")</f>
        <v>English, German</v>
      </c>
      <c r="J249" s="21" t="str">
        <f>IFERROR(__xludf.DUMMYFUNCTION("""COMPUTED_VALUE"""),"German")</f>
        <v>German</v>
      </c>
      <c r="K249" s="22">
        <f>IFERROR(__xludf.DUMMYFUNCTION("""COMPUTED_VALUE"""),44895.0)</f>
        <v>44895</v>
      </c>
      <c r="L249" s="23" t="str">
        <f>IFERROR(__xludf.DUMMYFUNCTION("""COMPUTED_VALUE"""),"https://masterplan.com/courses/mp-shorts-die-minto-pyramide")</f>
        <v>https://masterplan.com/courses/mp-shorts-die-minto-pyramide</v>
      </c>
    </row>
    <row r="250">
      <c r="A250" s="6" t="str">
        <f>IFERROR(__xludf.DUMMYFUNCTION("""COMPUTED_VALUE"""),"Mit zwölf Tipps zum Moderationsprofi")</f>
        <v>Mit zwölf Tipps zum Moderationsprofi</v>
      </c>
      <c r="B250" s="7" t="str">
        <f>IFERROR(__xludf.DUMMYFUNCTION("""COMPUTED_VALUE"""),"Top 12 Facilitation Tips from an Expert Facilitator")</f>
        <v>Top 12 Facilitation Tips from an Expert Facilitator</v>
      </c>
      <c r="C250" s="8" t="str">
        <f>IFERROR(__xludf.DUMMYFUNCTION("""COMPUTED_VALUE"""),"Bei der Moderation eines guten Workshops geht es um mehr als nur um Übungen und Tagesordnungen. Manche Dinge kann man nur aus Erfahrung lernen - oder von Expert:innen! Lerne in wenigen Minuten die besten Tipps vom Profi.")</f>
        <v>Bei der Moderation eines guten Workshops geht es um mehr als nur um Übungen und Tagesordnungen. Manche Dinge kann man nur aus Erfahrung lernen - oder von Expert:innen! Lerne in wenigen Minuten die besten Tipps vom Profi.</v>
      </c>
      <c r="D250" s="8" t="str">
        <f>IFERROR(__xludf.DUMMYFUNCTION("""COMPUTED_VALUE"""),"Facilitating a great workshop is about more than just exercises and agendas. Some things you can only learn from experience– or an expert! In a few minutes, you'll know all the best tips this professional facilitator has gathered after leading thousands o"&amp;"f workshops.")</f>
        <v>Facilitating a great workshop is about more than just exercises and agendas. Some things you can only learn from experience– or an expert! In a few minutes, you'll know all the best tips this professional facilitator has gathered after leading thousands of workshops.</v>
      </c>
      <c r="E250" s="28" t="str">
        <f>IFERROR(__xludf.DUMMYFUNCTION("""COMPUTED_VALUE"""),"Communication")</f>
        <v>Communication</v>
      </c>
      <c r="F250" s="10" t="str">
        <f>IFERROR(__xludf.DUMMYFUNCTION("""COMPUTED_VALUE"""),"AJ&amp;Smart")</f>
        <v>AJ&amp;Smart</v>
      </c>
      <c r="G250" s="11">
        <f>IFERROR(__xludf.DUMMYFUNCTION("""COMPUTED_VALUE"""),17.0)</f>
        <v>17</v>
      </c>
      <c r="H250" s="11">
        <f>IFERROR(__xludf.DUMMYFUNCTION("""COMPUTED_VALUE"""),3.0)</f>
        <v>3</v>
      </c>
      <c r="I250" s="12" t="str">
        <f>IFERROR(__xludf.DUMMYFUNCTION("""COMPUTED_VALUE"""),"English, German")</f>
        <v>English, German</v>
      </c>
      <c r="J250" s="12" t="str">
        <f>IFERROR(__xludf.DUMMYFUNCTION("""COMPUTED_VALUE"""),"English")</f>
        <v>English</v>
      </c>
      <c r="K250" s="13">
        <f>IFERROR(__xludf.DUMMYFUNCTION("""COMPUTED_VALUE"""),44893.0)</f>
        <v>44893</v>
      </c>
      <c r="L250" s="14" t="str">
        <f>IFERROR(__xludf.DUMMYFUNCTION("""COMPUTED_VALUE"""),"https://masterplan.com/courses/mit-zwoelf-tipps-zum-moderationsprofi")</f>
        <v>https://masterplan.com/courses/mit-zwoelf-tipps-zum-moderationsprofi</v>
      </c>
    </row>
    <row r="251">
      <c r="A251" s="15" t="str">
        <f>IFERROR(__xludf.DUMMYFUNCTION("""COMPUTED_VALUE"""),"Nachhaltige Geschäftsmodelle II: Was ist ein nachhaltiges Geschäftsmodell?")</f>
        <v>Nachhaltige Geschäftsmodelle II: Was ist ein nachhaltiges Geschäftsmodell?</v>
      </c>
      <c r="B251" s="16" t="str">
        <f>IFERROR(__xludf.DUMMYFUNCTION("""COMPUTED_VALUE"""),"What Is a Sustainable Business Model?")</f>
        <v>What Is a Sustainable Business Model?</v>
      </c>
      <c r="C251" s="17" t="str">
        <f>IFERROR(__xludf.DUMMYFUNCTION("""COMPUTED_VALUE"""),"Welche Art von Wert schafft dein Unternehmen in der Welt? Und, was noch wichtiger ist, ist dieser Wert nachhaltig? Erfahre, wie du Nachhaltigkeit in dein Geschäftsmodell integrieren kannst, um die Verantwortung - und die Chancen - zu verstehen, die dein U"&amp;"nternehmen schafft. ")</f>
        <v>Welche Art von Wert schafft dein Unternehmen in der Welt? Und, was noch wichtiger ist, ist dieser Wert nachhaltig? Erfahre, wie du Nachhaltigkeit in dein Geschäftsmodell integrieren kannst, um die Verantwortung - und die Chancen - zu verstehen, die dein Unternehmen schafft. </v>
      </c>
      <c r="D251" s="17" t="str">
        <f>IFERROR(__xludf.DUMMYFUNCTION("""COMPUTED_VALUE"""),"What kind of value does your business create in the world? And, more importantly, is that value sustainable? Learn how to integrate sustainability into your business model in order to understand the responsibilities– and the opportunities– that your busin"&amp;"ess creates.")</f>
        <v>What kind of value does your business create in the world? And, more importantly, is that value sustainable? Learn how to integrate sustainability into your business model in order to understand the responsibilities– and the opportunities– that your business creates.</v>
      </c>
      <c r="E251" s="9" t="str">
        <f>IFERROR(__xludf.DUMMYFUNCTION("""COMPUTED_VALUE"""),"Global Citizenship")</f>
        <v>Global Citizenship</v>
      </c>
      <c r="F251" s="19" t="str">
        <f>IFERROR(__xludf.DUMMYFUNCTION("""COMPUTED_VALUE"""),"SUSTBUS - Sustainable Business Models")</f>
        <v>SUSTBUS - Sustainable Business Models</v>
      </c>
      <c r="G251" s="20">
        <f>IFERROR(__xludf.DUMMYFUNCTION("""COMPUTED_VALUE"""),31.0)</f>
        <v>31</v>
      </c>
      <c r="H251" s="20">
        <f>IFERROR(__xludf.DUMMYFUNCTION("""COMPUTED_VALUE"""),15.0)</f>
        <v>15</v>
      </c>
      <c r="I251" s="21" t="str">
        <f>IFERROR(__xludf.DUMMYFUNCTION("""COMPUTED_VALUE"""),"English, German")</f>
        <v>English, German</v>
      </c>
      <c r="J251" s="21" t="str">
        <f>IFERROR(__xludf.DUMMYFUNCTION("""COMPUTED_VALUE"""),"English")</f>
        <v>English</v>
      </c>
      <c r="K251" s="22">
        <f>IFERROR(__xludf.DUMMYFUNCTION("""COMPUTED_VALUE"""),44893.0)</f>
        <v>44893</v>
      </c>
      <c r="L251" s="23" t="str">
        <f>IFERROR(__xludf.DUMMYFUNCTION("""COMPUTED_VALUE"""),"https://masterplan.com/courses/nachhaltige-geschaeftsmodelle-ii-was-ist-ein-nachhaltiges-geschaeftsmodell")</f>
        <v>https://masterplan.com/courses/nachhaltige-geschaeftsmodelle-ii-was-ist-ein-nachhaltiges-geschaeftsmodell</v>
      </c>
    </row>
    <row r="252">
      <c r="A252" s="6" t="str">
        <f>IFERROR(__xludf.DUMMYFUNCTION("""COMPUTED_VALUE"""),"Nachhaltige Geschäftsmodelle III: Zirkuläre und kollaborative Geschäftsmodelle")</f>
        <v>Nachhaltige Geschäftsmodelle III: Zirkuläre und kollaborative Geschäftsmodelle</v>
      </c>
      <c r="B252" s="7" t="str">
        <f>IFERROR(__xludf.DUMMYFUNCTION("""COMPUTED_VALUE"""),"Circular &amp; Collaborative Business Models")</f>
        <v>Circular &amp; Collaborative Business Models</v>
      </c>
      <c r="C252" s="8" t="str">
        <f>IFERROR(__xludf.DUMMYFUNCTION("""COMPUTED_VALUE"""),"Warum etwas kaufen, wenn man es auch einfach leihen kann? Vom Eigentum zum Zugang - finden wir heraus, warum das Nicht-Besitzen zum neuen Normalzustand werden könnte. Könnte dies das Ende der linearen Wirtschaft und der Beginn der Kreislaufwirtschaft sein"&amp;"?")</f>
        <v>Warum etwas kaufen, wenn man es auch einfach leihen kann? Vom Eigentum zum Zugang - finden wir heraus, warum das Nicht-Besitzen zum neuen Normalzustand werden könnte. Könnte dies das Ende der linearen Wirtschaft und der Beginn der Kreislaufwirtschaft sein?</v>
      </c>
      <c r="D252" s="8" t="str">
        <f>IFERROR(__xludf.DUMMYFUNCTION("""COMPUTED_VALUE"""),"Why buy something when you could simply borrow it? From ownership to access – let's find out why disownership might become the new normal. Could this be the end of the Linear Economy and the beginning of the Circular Economy?")</f>
        <v>Why buy something when you could simply borrow it? From ownership to access – let's find out why disownership might become the new normal. Could this be the end of the Linear Economy and the beginning of the Circular Economy?</v>
      </c>
      <c r="E252" s="9" t="str">
        <f>IFERROR(__xludf.DUMMYFUNCTION("""COMPUTED_VALUE"""),"Global Citizenship")</f>
        <v>Global Citizenship</v>
      </c>
      <c r="F252" s="10" t="str">
        <f>IFERROR(__xludf.DUMMYFUNCTION("""COMPUTED_VALUE"""),"SUSTBUS - Sustainable Business Models")</f>
        <v>SUSTBUS - Sustainable Business Models</v>
      </c>
      <c r="G252" s="11">
        <f>IFERROR(__xludf.DUMMYFUNCTION("""COMPUTED_VALUE"""),33.0)</f>
        <v>33</v>
      </c>
      <c r="H252" s="11">
        <f>IFERROR(__xludf.DUMMYFUNCTION("""COMPUTED_VALUE"""),13.0)</f>
        <v>13</v>
      </c>
      <c r="I252" s="12" t="str">
        <f>IFERROR(__xludf.DUMMYFUNCTION("""COMPUTED_VALUE"""),"English, German")</f>
        <v>English, German</v>
      </c>
      <c r="J252" s="12" t="str">
        <f>IFERROR(__xludf.DUMMYFUNCTION("""COMPUTED_VALUE"""),"English")</f>
        <v>English</v>
      </c>
      <c r="K252" s="13">
        <f>IFERROR(__xludf.DUMMYFUNCTION("""COMPUTED_VALUE"""),44893.0)</f>
        <v>44893</v>
      </c>
      <c r="L252" s="14" t="str">
        <f>IFERROR(__xludf.DUMMYFUNCTION("""COMPUTED_VALUE"""),"https://masterplan.com/courses/nachhaltige-geschaeftsmodelle-iii-zirkulaere-und-kollaborative-geschaeftsmodelle")</f>
        <v>https://masterplan.com/courses/nachhaltige-geschaeftsmodelle-iii-zirkulaere-und-kollaborative-geschaeftsmodelle</v>
      </c>
    </row>
    <row r="253">
      <c r="A253" s="15" t="str">
        <f>IFERROR(__xludf.DUMMYFUNCTION("""COMPUTED_VALUE"""),"Einführung in Miro: Ein Whiteboard für alle Fälle")</f>
        <v>Einführung in Miro: Ein Whiteboard für alle Fälle</v>
      </c>
      <c r="B253" s="16" t="str">
        <f>IFERROR(__xludf.DUMMYFUNCTION("""COMPUTED_VALUE"""),"Intro to Miro: an Online Whiteboard for Workshops")</f>
        <v>Intro to Miro: an Online Whiteboard for Workshops</v>
      </c>
      <c r="C253" s="17" t="str">
        <f>IFERROR(__xludf.DUMMYFUNCTION("""COMPUTED_VALUE"""),"Nach einem tollen Workshop hast du ein Whiteboard voller Ideen, aber was, wenn diese Ideen ausradiert werden? Hier kommt Miro ins Spiel! Mit diesem digitalen Whiteboard kann dein Team Ideen organisieren, vorbereiten und weitergeben, für die du so hart gea"&amp;"rbeitet hast.")</f>
        <v>Nach einem tollen Workshop hast du ein Whiteboard voller Ideen, aber was, wenn diese Ideen ausradiert werden? Hier kommt Miro ins Spiel! Mit diesem digitalen Whiteboard kann dein Team Ideen organisieren, vorbereiten und weitergeben, für die du so hart gearbeitet hast.</v>
      </c>
      <c r="D253" s="17" t="str">
        <f>IFERROR(__xludf.DUMMYFUNCTION("""COMPUTED_VALUE"""),"After a great workshop, you have a whiteboard full of ideas, but what happens when those ideas get erased? That's where Miro comes in! Learn to use this digital whiteboard so your team can organize, prepare, and share all the ideas you workshopped so hard"&amp;" to reach.")</f>
        <v>After a great workshop, you have a whiteboard full of ideas, but what happens when those ideas get erased? That's where Miro comes in! Learn to use this digital whiteboard so your team can organize, prepare, and share all the ideas you workshopped so hard to reach.</v>
      </c>
      <c r="E253" s="29" t="str">
        <f>IFERROR(__xludf.DUMMYFUNCTION("""COMPUTED_VALUE"""),"Thinking and Deciding Clearly")</f>
        <v>Thinking and Deciding Clearly</v>
      </c>
      <c r="F253" s="19" t="str">
        <f>IFERROR(__xludf.DUMMYFUNCTION("""COMPUTED_VALUE"""),"AJ&amp;Smart")</f>
        <v>AJ&amp;Smart</v>
      </c>
      <c r="G253" s="20">
        <f>IFERROR(__xludf.DUMMYFUNCTION("""COMPUTED_VALUE"""),10.0)</f>
        <v>10</v>
      </c>
      <c r="H253" s="20">
        <f>IFERROR(__xludf.DUMMYFUNCTION("""COMPUTED_VALUE"""),6.0)</f>
        <v>6</v>
      </c>
      <c r="I253" s="21" t="str">
        <f>IFERROR(__xludf.DUMMYFUNCTION("""COMPUTED_VALUE"""),"English, German")</f>
        <v>English, German</v>
      </c>
      <c r="J253" s="21" t="str">
        <f>IFERROR(__xludf.DUMMYFUNCTION("""COMPUTED_VALUE"""),"English")</f>
        <v>English</v>
      </c>
      <c r="K253" s="22">
        <f>IFERROR(__xludf.DUMMYFUNCTION("""COMPUTED_VALUE"""),44893.0)</f>
        <v>44893</v>
      </c>
      <c r="L253" s="23" t="str">
        <f>IFERROR(__xludf.DUMMYFUNCTION("""COMPUTED_VALUE"""),"https://masterplan.com/courses/einfuehrung-in-miro-ein-whiteboard-fuer-alle-faelle")</f>
        <v>https://masterplan.com/courses/einfuehrung-in-miro-ein-whiteboard-fuer-alle-faelle</v>
      </c>
    </row>
    <row r="254">
      <c r="A254" s="6" t="str">
        <f>IFERROR(__xludf.DUMMYFUNCTION("""COMPUTED_VALUE"""),"Shortcut-O-Matic: Mit weniger Stress zu besseren Entscheidungen")</f>
        <v>Shortcut-O-Matic: Mit weniger Stress zu besseren Entscheidungen</v>
      </c>
      <c r="B254" s="7" t="str">
        <f>IFERROR(__xludf.DUMMYFUNCTION("""COMPUTED_VALUE"""),"Shortcut-O-Matic: 15 Minutes to Better Decisions")</f>
        <v>Shortcut-O-Matic: 15 Minutes to Better Decisions</v>
      </c>
      <c r="C254" s="8" t="str">
        <f>IFERROR(__xludf.DUMMYFUNCTION("""COMPUTED_VALUE"""),"Hast du ein Problem? Finde einen Shortcut! Diese schnelle 15-minütige Übung ist eine gute Möglichkeit, den Hauptproblemen in deinem Leben, deinem Geschäft oder deinen Prozessen auf den Grund zu gehen, damit du umsetzbare Lösungen finden kannst.")</f>
        <v>Hast du ein Problem? Finde einen Shortcut! Diese schnelle 15-minütige Übung ist eine gute Möglichkeit, den Hauptproblemen in deinem Leben, deinem Geschäft oder deinen Prozessen auf den Grund zu gehen, damit du umsetzbare Lösungen finden kannst.</v>
      </c>
      <c r="D254" s="8" t="str">
        <f>IFERROR(__xludf.DUMMYFUNCTION("""COMPUTED_VALUE"""),"Got a problem? Find a shortcut! This quick 15-minute exercise is a great way to get to the root of the main pain points in your life, business, or processes so that you can find actionable solutions.")</f>
        <v>Got a problem? Find a shortcut! This quick 15-minute exercise is a great way to get to the root of the main pain points in your life, business, or processes so that you can find actionable solutions.</v>
      </c>
      <c r="E254" s="26" t="str">
        <f>IFERROR(__xludf.DUMMYFUNCTION("""COMPUTED_VALUE"""),"Collaboration and Leadership")</f>
        <v>Collaboration and Leadership</v>
      </c>
      <c r="F254" s="10" t="str">
        <f>IFERROR(__xludf.DUMMYFUNCTION("""COMPUTED_VALUE"""),"AJ&amp;Smart")</f>
        <v>AJ&amp;Smart</v>
      </c>
      <c r="G254" s="11">
        <f>IFERROR(__xludf.DUMMYFUNCTION("""COMPUTED_VALUE"""),14.0)</f>
        <v>14</v>
      </c>
      <c r="H254" s="11">
        <f>IFERROR(__xludf.DUMMYFUNCTION("""COMPUTED_VALUE"""),1.0)</f>
        <v>1</v>
      </c>
      <c r="I254" s="12" t="str">
        <f>IFERROR(__xludf.DUMMYFUNCTION("""COMPUTED_VALUE"""),"English, German")</f>
        <v>English, German</v>
      </c>
      <c r="J254" s="12" t="str">
        <f>IFERROR(__xludf.DUMMYFUNCTION("""COMPUTED_VALUE"""),"English")</f>
        <v>English</v>
      </c>
      <c r="K254" s="13">
        <f>IFERROR(__xludf.DUMMYFUNCTION("""COMPUTED_VALUE"""),44889.0)</f>
        <v>44889</v>
      </c>
      <c r="L254" s="14" t="str">
        <f>IFERROR(__xludf.DUMMYFUNCTION("""COMPUTED_VALUE"""),"https://masterplan.com/courses/shortcut-o-matic-mit-weniger-stress-zu-besseren-entscheidungen")</f>
        <v>https://masterplan.com/courses/shortcut-o-matic-mit-weniger-stress-zu-besseren-entscheidungen</v>
      </c>
    </row>
    <row r="255">
      <c r="A255" s="15" t="str">
        <f>IFERROR(__xludf.DUMMYFUNCTION("""COMPUTED_VALUE"""),"Nachhaltige Geschäftsmodelle I: Die Schwierigkeiten der Nachhaltigkeit")</f>
        <v>Nachhaltige Geschäftsmodelle I: Die Schwierigkeiten der Nachhaltigkeit</v>
      </c>
      <c r="B255" s="16" t="str">
        <f>IFERROR(__xludf.DUMMYFUNCTION("""COMPUTED_VALUE"""),"The Problem of Sustainability")</f>
        <v>The Problem of Sustainability</v>
      </c>
      <c r="C255" s="17" t="str">
        <f>IFERROR(__xludf.DUMMYFUNCTION("""COMPUTED_VALUE"""),"Wie können Unternehmen das Ökosystem unterstützen? Ist es überhaupt möglich, gleichzeitig nachhaltig und rentabel zu sein? Lass uns über ökologische Fußabdrücke, den Erdüberlastungstag und darüber sprechen, warum Innovation im Hinblick auf Nachhaltigkeit "&amp;"so wichtig ist.")</f>
        <v>Wie können Unternehmen das Ökosystem unterstützen? Ist es überhaupt möglich, gleichzeitig nachhaltig und rentabel zu sein? Lass uns über ökologische Fußabdrücke, den Erdüberlastungstag und darüber sprechen, warum Innovation im Hinblick auf Nachhaltigkeit so wichtig ist.</v>
      </c>
      <c r="D255" s="17" t="str">
        <f>IFERROR(__xludf.DUMMYFUNCTION("""COMPUTED_VALUE"""),"How can companies support our ecosystem? Is it even possible to be sustainable and profitable at the same time? Let's talk about ecological footprints, Earth Overshoot Day, and why innovation is crucial in terms of sustainability.")</f>
        <v>How can companies support our ecosystem? Is it even possible to be sustainable and profitable at the same time? Let's talk about ecological footprints, Earth Overshoot Day, and why innovation is crucial in terms of sustainability.</v>
      </c>
      <c r="E255" s="9" t="str">
        <f>IFERROR(__xludf.DUMMYFUNCTION("""COMPUTED_VALUE"""),"Global Citizenship")</f>
        <v>Global Citizenship</v>
      </c>
      <c r="F255" s="19" t="str">
        <f>IFERROR(__xludf.DUMMYFUNCTION("""COMPUTED_VALUE"""),"SUSTBUS - Sustainable Business Models")</f>
        <v>SUSTBUS - Sustainable Business Models</v>
      </c>
      <c r="G255" s="20">
        <f>IFERROR(__xludf.DUMMYFUNCTION("""COMPUTED_VALUE"""),30.0)</f>
        <v>30</v>
      </c>
      <c r="H255" s="20">
        <f>IFERROR(__xludf.DUMMYFUNCTION("""COMPUTED_VALUE"""),14.0)</f>
        <v>14</v>
      </c>
      <c r="I255" s="21" t="str">
        <f>IFERROR(__xludf.DUMMYFUNCTION("""COMPUTED_VALUE"""),"English, German")</f>
        <v>English, German</v>
      </c>
      <c r="J255" s="21" t="str">
        <f>IFERROR(__xludf.DUMMYFUNCTION("""COMPUTED_VALUE"""),"English")</f>
        <v>English</v>
      </c>
      <c r="K255" s="22">
        <f>IFERROR(__xludf.DUMMYFUNCTION("""COMPUTED_VALUE"""),44889.0)</f>
        <v>44889</v>
      </c>
      <c r="L255" s="23" t="str">
        <f>IFERROR(__xludf.DUMMYFUNCTION("""COMPUTED_VALUE"""),"https://masterplan.com/courses/nachhaltige-geschaeftsmodelle-i-die-schwierigkeiten-der-nachhaltigkeit")</f>
        <v>https://masterplan.com/courses/nachhaltige-geschaeftsmodelle-i-die-schwierigkeiten-der-nachhaltigkeit</v>
      </c>
    </row>
    <row r="256">
      <c r="A256" s="6" t="str">
        <f>IFERROR(__xludf.DUMMYFUNCTION("""COMPUTED_VALUE"""),"Mark Zuckerberg &amp; die Zukunft des Internets")</f>
        <v>Mark Zuckerberg &amp; die Zukunft des Internets</v>
      </c>
      <c r="B256" s="7" t="str">
        <f>IFERROR(__xludf.DUMMYFUNCTION("""COMPUTED_VALUE"""),"Mark Zuckerberg &amp; the Future of the Internet")</f>
        <v>Mark Zuckerberg &amp; the Future of the Internet</v>
      </c>
      <c r="C256" s="8" t="str">
        <f>IFERROR(__xludf.DUMMYFUNCTION("""COMPUTED_VALUE"""),"Beeinflussen soziale Medien unsere Denkweise? Ist KI Fluch oder Segen? 2019 kamen Mark Zuckerberg und der Autor Yuval Noah Harari zusammen, um diese Fragen zu diskutieren. Heraus kam eine angeregte Diskussion über das Internet der Zukunft. Was hält es für"&amp;" uns bereit?")</f>
        <v>Beeinflussen soziale Medien unsere Denkweise? Ist KI Fluch oder Segen? 2019 kamen Mark Zuckerberg und der Autor Yuval Noah Harari zusammen, um diese Fragen zu diskutieren. Heraus kam eine angeregte Diskussion über das Internet der Zukunft. Was hält es für uns bereit?</v>
      </c>
      <c r="D256" s="8" t="str">
        <f>IFERROR(__xludf.DUMMYFUNCTION("""COMPUTED_VALUE"""),"Does social media influence the way we think? Is AI a curse or a blessing? In 2019, Mark Zuckerberg and author Yuval Noah Harari met up to discuss these questions. What emerged was a lively discussion about the Internet of the future. What does it hold in"&amp;" store for us?")</f>
        <v>Does social media influence the way we think? Is AI a curse or a blessing? In 2019, Mark Zuckerberg and author Yuval Noah Harari met up to discuss these questions. What emerged was a lively discussion about the Internet of the future. What does it hold in store for us?</v>
      </c>
      <c r="E256" s="25" t="str">
        <f>IFERROR(__xludf.DUMMYFUNCTION("""COMPUTED_VALUE"""),"Digital Literacy")</f>
        <v>Digital Literacy</v>
      </c>
      <c r="F256" s="10" t="str">
        <f>IFERROR(__xludf.DUMMYFUNCTION("""COMPUTED_VALUE"""),"Mark Zuckerberg &amp; Yuval Noah Harari")</f>
        <v>Mark Zuckerberg &amp; Yuval Noah Harari</v>
      </c>
      <c r="G256" s="11">
        <f>IFERROR(__xludf.DUMMYFUNCTION("""COMPUTED_VALUE"""),94.0)</f>
        <v>94</v>
      </c>
      <c r="H256" s="11">
        <f>IFERROR(__xludf.DUMMYFUNCTION("""COMPUTED_VALUE"""),31.0)</f>
        <v>31</v>
      </c>
      <c r="I256" s="12" t="str">
        <f>IFERROR(__xludf.DUMMYFUNCTION("""COMPUTED_VALUE"""),"English, German")</f>
        <v>English, German</v>
      </c>
      <c r="J256" s="12" t="str">
        <f>IFERROR(__xludf.DUMMYFUNCTION("""COMPUTED_VALUE"""),"English")</f>
        <v>English</v>
      </c>
      <c r="K256" s="13">
        <f>IFERROR(__xludf.DUMMYFUNCTION("""COMPUTED_VALUE"""),44888.0)</f>
        <v>44888</v>
      </c>
      <c r="L256" s="14" t="str">
        <f>IFERROR(__xludf.DUMMYFUNCTION("""COMPUTED_VALUE"""),"https://masterplan.com/courses/mark-zuckerberg-und-die-zukunft-des-internets")</f>
        <v>https://masterplan.com/courses/mark-zuckerberg-und-die-zukunft-des-internets</v>
      </c>
    </row>
    <row r="257">
      <c r="A257" s="15" t="str">
        <f>IFERROR(__xludf.DUMMYFUNCTION("""COMPUTED_VALUE"""),"Klar Denken und Entscheiden: Goodhart's Law")</f>
        <v>Klar Denken und Entscheiden: Goodhart's Law</v>
      </c>
      <c r="B257" s="16" t="str">
        <f>IFERROR(__xludf.DUMMYFUNCTION("""COMPUTED_VALUE"""),"Clear Thinking: Goodhart's Law")</f>
        <v>Clear Thinking: Goodhart's Law</v>
      </c>
      <c r="C257" s="17" t="str">
        <f>IFERROR(__xludf.DUMMYFUNCTION("""COMPUTED_VALUE"""),"Unter britischer Herrschaft explodierte Indiens Schlangenpopulation, die Sowjetunion produzierte Nägel im Überschuss, und ""erfolgreicher"" Kundenservice führt oft zu unzufriedenen Kunden. Wie das zusammenhängt und wie du der ""Messbarkeitsfalle"" entgehs"&amp;"t, erfährst du in diesem Short")</f>
        <v>Unter britischer Herrschaft explodierte Indiens Schlangenpopulation, die Sowjetunion produzierte Nägel im Überschuss, und "erfolgreicher" Kundenservice führt oft zu unzufriedenen Kunden. Wie das zusammenhängt und wie du der "Messbarkeitsfalle" entgehst, erfährst du in diesem Short</v>
      </c>
      <c r="D257" s="17" t="str">
        <f>IFERROR(__xludf.DUMMYFUNCTION("""COMPUTED_VALUE"""),"Under British rule, India's snake population exploded, the Soviet Union produced nails in surplus, and ""successful"" customer service often leads to dissatisfied customers. Find out how all of this is connected and how you can avoid the ""measurability t"&amp;"rap"" in this Short. ")</f>
        <v>Under British rule, India's snake population exploded, the Soviet Union produced nails in surplus, and "successful" customer service often leads to dissatisfied customers. Find out how all of this is connected and how you can avoid the "measurability trap" in this Short. </v>
      </c>
      <c r="E257" s="26" t="str">
        <f>IFERROR(__xludf.DUMMYFUNCTION("""COMPUTED_VALUE"""),"Collaboration and Leadership")</f>
        <v>Collaboration and Leadership</v>
      </c>
      <c r="F257" s="19" t="str">
        <f>IFERROR(__xludf.DUMMYFUNCTION("""COMPUTED_VALUE"""),"Masterplan - Matthias Kumer")</f>
        <v>Masterplan - Matthias Kumer</v>
      </c>
      <c r="G257" s="20">
        <f>IFERROR(__xludf.DUMMYFUNCTION("""COMPUTED_VALUE"""),3.0)</f>
        <v>3</v>
      </c>
      <c r="H257" s="20">
        <f>IFERROR(__xludf.DUMMYFUNCTION("""COMPUTED_VALUE"""),3.0)</f>
        <v>3</v>
      </c>
      <c r="I257" s="21" t="str">
        <f>IFERROR(__xludf.DUMMYFUNCTION("""COMPUTED_VALUE"""),"English, German")</f>
        <v>English, German</v>
      </c>
      <c r="J257" s="21" t="str">
        <f>IFERROR(__xludf.DUMMYFUNCTION("""COMPUTED_VALUE"""),"German")</f>
        <v>German</v>
      </c>
      <c r="K257" s="22">
        <f>IFERROR(__xludf.DUMMYFUNCTION("""COMPUTED_VALUE"""),44883.0)</f>
        <v>44883</v>
      </c>
      <c r="L257" s="23" t="str">
        <f>IFERROR(__xludf.DUMMYFUNCTION("""COMPUTED_VALUE"""),"https://masterplan.com/courses/mp-shorts-goodharts-law")</f>
        <v>https://masterplan.com/courses/mp-shorts-goodharts-law</v>
      </c>
    </row>
    <row r="258">
      <c r="A258" s="6" t="str">
        <f>IFERROR(__xludf.DUMMYFUNCTION("""COMPUTED_VALUE"""),"Die Verfügbarkeitsheuristik")</f>
        <v>Die Verfügbarkeitsheuristik</v>
      </c>
      <c r="B258" s="7" t="str">
        <f>IFERROR(__xludf.DUMMYFUNCTION("""COMPUTED_VALUE"""),"Clear Thinking: Availability Heuristic")</f>
        <v>Clear Thinking: Availability Heuristic</v>
      </c>
      <c r="C258" s="8" t="str">
        <f>IFERROR(__xludf.DUMMYFUNCTION("""COMPUTED_VALUE"""),"Wer lebt gefährlicher: Polizisten oder Holzfäller? In diesem Kurzfilm erfährst du nicht nur, welche Berufe du vielleicht meiden solltest, sondern auch, warum wir so oft Fehlurteile fällen, und was du tun kannst, um bessere Entscheidungen zu treffen.")</f>
        <v>Wer lebt gefährlicher: Polizisten oder Holzfäller? In diesem Kurzfilm erfährst du nicht nur, welche Berufe du vielleicht meiden solltest, sondern auch, warum wir so oft Fehlurteile fällen, und was du tun kannst, um bessere Entscheidungen zu treffen.</v>
      </c>
      <c r="D258" s="8" t="str">
        <f>IFERROR(__xludf.DUMMYFUNCTION("""COMPUTED_VALUE"""),"Who lives more dangerous lives: police officers or lumberjacks? In this short, you will not only learn which professions you might want to avoid, but also, why we so often judge poorly, and what you can do to make better decisions.")</f>
        <v>Who lives more dangerous lives: police officers or lumberjacks? In this short, you will not only learn which professions you might want to avoid, but also, why we so often judge poorly, and what you can do to make better decisions.</v>
      </c>
      <c r="E258" s="26" t="str">
        <f>IFERROR(__xludf.DUMMYFUNCTION("""COMPUTED_VALUE"""),"Collaboration and Leadership")</f>
        <v>Collaboration and Leadership</v>
      </c>
      <c r="F258" s="10" t="str">
        <f>IFERROR(__xludf.DUMMYFUNCTION("""COMPUTED_VALUE"""),"Masterplan - Matthias Kumer")</f>
        <v>Masterplan - Matthias Kumer</v>
      </c>
      <c r="G258" s="11">
        <f>IFERROR(__xludf.DUMMYFUNCTION("""COMPUTED_VALUE"""),3.0)</f>
        <v>3</v>
      </c>
      <c r="H258" s="11">
        <f>IFERROR(__xludf.DUMMYFUNCTION("""COMPUTED_VALUE"""),3.0)</f>
        <v>3</v>
      </c>
      <c r="I258" s="12" t="str">
        <f>IFERROR(__xludf.DUMMYFUNCTION("""COMPUTED_VALUE"""),"English, German")</f>
        <v>English, German</v>
      </c>
      <c r="J258" s="12" t="str">
        <f>IFERROR(__xludf.DUMMYFUNCTION("""COMPUTED_VALUE"""),"German")</f>
        <v>German</v>
      </c>
      <c r="K258" s="13">
        <f>IFERROR(__xludf.DUMMYFUNCTION("""COMPUTED_VALUE"""),44883.0)</f>
        <v>44883</v>
      </c>
      <c r="L258" s="14" t="str">
        <f>IFERROR(__xludf.DUMMYFUNCTION("""COMPUTED_VALUE"""),"https://masterplan.com/courses/mp-shorts-die-verfuegbarkeitsheuristik")</f>
        <v>https://masterplan.com/courses/mp-shorts-die-verfuegbarkeitsheuristik</v>
      </c>
    </row>
    <row r="259">
      <c r="A259" s="15" t="str">
        <f>IFERROR(__xludf.DUMMYFUNCTION("""COMPUTED_VALUE"""),"So baust du eine starke Unternehmenskultur auf")</f>
        <v>So baust du eine starke Unternehmenskultur auf</v>
      </c>
      <c r="B259" s="16" t="str">
        <f>IFERROR(__xludf.DUMMYFUNCTION("""COMPUTED_VALUE"""),"How to Transform your Organization's Culture ")</f>
        <v>How to Transform your Organization's Culture </v>
      </c>
      <c r="C259" s="17" t="str">
        <f>IFERROR(__xludf.DUMMYFUNCTION("""COMPUTED_VALUE"""),"Heute sprechen wir über eine der schwierigsten Aufgaben für Manager:innen: Die Veränderung der Unternehmenskultur. Aber keine Sorge: In diesem Kurs wirst du nützliche Tipps kennenlernen, die dir das erreichen deiner Ziele um einiges erleichtern werden. ")</f>
        <v>Heute sprechen wir über eine der schwierigsten Aufgaben für Manager:innen: Die Veränderung der Unternehmenskultur. Aber keine Sorge: In diesem Kurs wirst du nützliche Tipps kennenlernen, die dir das erreichen deiner Ziele um einiges erleichtern werden. </v>
      </c>
      <c r="D259" s="17" t="str">
        <f>IFERROR(__xludf.DUMMYFUNCTION("""COMPUTED_VALUE"""),"Today we're going to talk about one of the most difficult tasks for leaders: transforming the organizational culture. Because, although it's hard, it's also very important. This course will teach you useful tips that will make reaching your change-goals a"&amp;" lot easier. ")</f>
        <v>Today we're going to talk about one of the most difficult tasks for leaders: transforming the organizational culture. Because, although it's hard, it's also very important. This course will teach you useful tips that will make reaching your change-goals a lot easier. </v>
      </c>
      <c r="E259" s="9" t="str">
        <f>IFERROR(__xludf.DUMMYFUNCTION("""COMPUTED_VALUE"""),"Global Citizenship")</f>
        <v>Global Citizenship</v>
      </c>
      <c r="F259" s="19" t="str">
        <f>IFERROR(__xludf.DUMMYFUNCTION("""COMPUTED_VALUE"""),"AIHR - Academy to Innovate HR")</f>
        <v>AIHR - Academy to Innovate HR</v>
      </c>
      <c r="G259" s="20">
        <f>IFERROR(__xludf.DUMMYFUNCTION("""COMPUTED_VALUE"""),4.0)</f>
        <v>4</v>
      </c>
      <c r="H259" s="20">
        <f>IFERROR(__xludf.DUMMYFUNCTION("""COMPUTED_VALUE"""),6.0)</f>
        <v>6</v>
      </c>
      <c r="I259" s="21" t="str">
        <f>IFERROR(__xludf.DUMMYFUNCTION("""COMPUTED_VALUE"""),"English, German")</f>
        <v>English, German</v>
      </c>
      <c r="J259" s="21" t="str">
        <f>IFERROR(__xludf.DUMMYFUNCTION("""COMPUTED_VALUE"""),"English")</f>
        <v>English</v>
      </c>
      <c r="K259" s="22">
        <f>IFERROR(__xludf.DUMMYFUNCTION("""COMPUTED_VALUE"""),44882.0)</f>
        <v>44882</v>
      </c>
      <c r="L259" s="23" t="str">
        <f>IFERROR(__xludf.DUMMYFUNCTION("""COMPUTED_VALUE"""),"https://masterplan.com/courses/so-baust-du-eine-starke-unternehmenskultur-auf")</f>
        <v>https://masterplan.com/courses/so-baust-du-eine-starke-unternehmenskultur-auf</v>
      </c>
    </row>
    <row r="260">
      <c r="A260" s="6" t="str">
        <f>IFERROR(__xludf.DUMMYFUNCTION("""COMPUTED_VALUE"""),"Mitarbeiter-Benefits: Womit du dein Team glücklich machst")</f>
        <v>Mitarbeiter-Benefits: Womit du dein Team glücklich machst</v>
      </c>
      <c r="B260" s="7" t="str">
        <f>IFERROR(__xludf.DUMMYFUNCTION("""COMPUTED_VALUE"""),"Employee Benefits &amp; Compensation Ideas Your Team Will Love")</f>
        <v>Employee Benefits &amp; Compensation Ideas Your Team Will Love</v>
      </c>
      <c r="C260" s="8" t="str">
        <f>IFERROR(__xludf.DUMMYFUNCTION("""COMPUTED_VALUE"""),"Sinn und Zweck von Zusatzleistungen ist es, gute Mitarbeitende zu gewinnen, zu motivieren und zu halten, um den Auftrag des Unternehmens zu erfüllen. Aber welche Leistungen kannst du anbieten? Erkunden wir gemeinsam verschiedene Arten von Zusatzleistungen"&amp;"!")</f>
        <v>Sinn und Zweck von Zusatzleistungen ist es, gute Mitarbeitende zu gewinnen, zu motivieren und zu halten, um den Auftrag des Unternehmens zu erfüllen. Aber welche Leistungen kannst du anbieten? Erkunden wir gemeinsam verschiedene Arten von Zusatzleistungen!</v>
      </c>
      <c r="D260" s="8" t="str">
        <f>IFERROR(__xludf.DUMMYFUNCTION("""COMPUTED_VALUE"""),"The whole point of employee benefits is to attract, motivate, and retain good employees to satisfy the companies mission. But what are the benefits you could offer? Let's discover benefits at work, for health, financial security as well as lifestyle benef"&amp;"its! ")</f>
        <v>The whole point of employee benefits is to attract, motivate, and retain good employees to satisfy the companies mission. But what are the benefits you could offer? Let's discover benefits at work, for health, financial security as well as lifestyle benefits! </v>
      </c>
      <c r="E260" s="26" t="str">
        <f>IFERROR(__xludf.DUMMYFUNCTION("""COMPUTED_VALUE"""),"Collaboration and Leadership")</f>
        <v>Collaboration and Leadership</v>
      </c>
      <c r="F260" s="10" t="str">
        <f>IFERROR(__xludf.DUMMYFUNCTION("""COMPUTED_VALUE"""),"AIHR - Academy to Innovate HR")</f>
        <v>AIHR - Academy to Innovate HR</v>
      </c>
      <c r="G260" s="11">
        <f>IFERROR(__xludf.DUMMYFUNCTION("""COMPUTED_VALUE"""),10.0)</f>
        <v>10</v>
      </c>
      <c r="H260" s="11">
        <f>IFERROR(__xludf.DUMMYFUNCTION("""COMPUTED_VALUE"""),6.0)</f>
        <v>6</v>
      </c>
      <c r="I260" s="12" t="str">
        <f>IFERROR(__xludf.DUMMYFUNCTION("""COMPUTED_VALUE"""),"English, German")</f>
        <v>English, German</v>
      </c>
      <c r="J260" s="12" t="str">
        <f>IFERROR(__xludf.DUMMYFUNCTION("""COMPUTED_VALUE"""),"English")</f>
        <v>English</v>
      </c>
      <c r="K260" s="13">
        <f>IFERROR(__xludf.DUMMYFUNCTION("""COMPUTED_VALUE"""),44873.0)</f>
        <v>44873</v>
      </c>
      <c r="L260" s="14" t="str">
        <f>IFERROR(__xludf.DUMMYFUNCTION("""COMPUTED_VALUE"""),"https://masterplan.com/courses/mitarbeiter-benefits-womit-du-dein-team-gluecklich-machst")</f>
        <v>https://masterplan.com/courses/mitarbeiter-benefits-womit-du-dein-team-gluecklich-machst</v>
      </c>
    </row>
    <row r="261">
      <c r="A261" s="15" t="str">
        <f>IFERROR(__xludf.DUMMYFUNCTION("""COMPUTED_VALUE"""),"KI Deep Dive: Wie KI die Energiebranche revolutionieren kann")</f>
        <v>KI Deep Dive: Wie KI die Energiebranche revolutionieren kann</v>
      </c>
      <c r="B261" s="16" t="str">
        <f>IFERROR(__xludf.DUMMYFUNCTION("""COMPUTED_VALUE"""),"AI Deep Dive: How AI Can Disrupt the Energy Industry")</f>
        <v>AI Deep Dive: How AI Can Disrupt the Energy Industry</v>
      </c>
      <c r="C261" s="17" t="str">
        <f>IFERROR(__xludf.DUMMYFUNCTION("""COMPUTED_VALUE"""),"Können wir den Klimawandel durch den Einsatz von KI-Technologie stoppen? Willkommen zu ""AI Talks"": Jim Gao, der ehemalige Teamleiter bei Google und Deepmind Energy verrät, was nötig ist, um die Energiebranche zu revolutionieren. ""Heal the world, make i"&amp;"t a better place!""")</f>
        <v>Können wir den Klimawandel durch den Einsatz von KI-Technologie stoppen? Willkommen zu "AI Talks": Jim Gao, der ehemalige Teamleiter bei Google und Deepmind Energy verrät, was nötig ist, um die Energiebranche zu revolutionieren. "Heal the world, make it a better place!"</v>
      </c>
      <c r="D261" s="17" t="str">
        <f>IFERROR(__xludf.DUMMYFUNCTION("""COMPUTED_VALUE"""),"Can we fight climate change through the application of AI technology? Welcome to AI talks with Jim Gao: The former Team Lead at Google and Deepmind Energy knows exactly what is needed to revolutionize the energy industry. Let's heal the world and make it "&amp;"a better place!")</f>
        <v>Can we fight climate change through the application of AI technology? Welcome to AI talks with Jim Gao: The former Team Lead at Google and Deepmind Energy knows exactly what is needed to revolutionize the energy industry. Let's heal the world and make it a better place!</v>
      </c>
      <c r="E261" s="25" t="str">
        <f>IFERROR(__xludf.DUMMYFUNCTION("""COMPUTED_VALUE"""),"Digital Literacy")</f>
        <v>Digital Literacy</v>
      </c>
      <c r="F261" s="19" t="str">
        <f>IFERROR(__xludf.DUMMYFUNCTION("""COMPUTED_VALUE"""),"AI Academy - Gianluca Mauro")</f>
        <v>AI Academy - Gianluca Mauro</v>
      </c>
      <c r="G261" s="20">
        <f>IFERROR(__xludf.DUMMYFUNCTION("""COMPUTED_VALUE"""),19.0)</f>
        <v>19</v>
      </c>
      <c r="H261" s="20">
        <f>IFERROR(__xludf.DUMMYFUNCTION("""COMPUTED_VALUE"""),4.0)</f>
        <v>4</v>
      </c>
      <c r="I261" s="21" t="str">
        <f>IFERROR(__xludf.DUMMYFUNCTION("""COMPUTED_VALUE"""),"English, German")</f>
        <v>English, German</v>
      </c>
      <c r="J261" s="21" t="str">
        <f>IFERROR(__xludf.DUMMYFUNCTION("""COMPUTED_VALUE"""),"English")</f>
        <v>English</v>
      </c>
      <c r="K261" s="22">
        <f>IFERROR(__xludf.DUMMYFUNCTION("""COMPUTED_VALUE"""),44865.0)</f>
        <v>44865</v>
      </c>
      <c r="L261" s="23" t="str">
        <f>IFERROR(__xludf.DUMMYFUNCTION("""COMPUTED_VALUE"""),"https://masterplan.com/courses/ki-deep-dive-wie-ki-die-energiebranche-revolutionieren-kann")</f>
        <v>https://masterplan.com/courses/ki-deep-dive-wie-ki-die-energiebranche-revolutionieren-kann</v>
      </c>
    </row>
    <row r="262">
      <c r="A262" s="6" t="str">
        <f>IFERROR(__xludf.DUMMYFUNCTION("""COMPUTED_VALUE"""),"KI Deep Dive: Personalisierung")</f>
        <v>KI Deep Dive: Personalisierung</v>
      </c>
      <c r="B262" s="7" t="str">
        <f>IFERROR(__xludf.DUMMYFUNCTION("""COMPUTED_VALUE"""),"AI Deep Dive: Personalization")</f>
        <v>AI Deep Dive: Personalization</v>
      </c>
      <c r="C262" s="8" t="str">
        <f>IFERROR(__xludf.DUMMYFUNCTION("""COMPUTED_VALUE"""),"Wenn du jemals eine Netflix-Serie gebingewatcht hast oder in ein TikTok-Loch gefallen bist, war personalisierte KI Schuld! In diesem Masterplan-Mikrokurs erfährst du, wie Instagram, Netflix und TikTok personalisierte KI für ihre Ziele auf unterschiedliche"&amp;" Art einsetzen.")</f>
        <v>Wenn du jemals eine Netflix-Serie gebingewatcht hast oder in ein TikTok-Loch gefallen bist, war personalisierte KI Schuld! In diesem Masterplan-Mikrokurs erfährst du, wie Instagram, Netflix und TikTok personalisierte KI für ihre Ziele auf unterschiedliche Art einsetzen.</v>
      </c>
      <c r="D262" s="8" t="str">
        <f>IFERROR(__xludf.DUMMYFUNCTION("""COMPUTED_VALUE"""),"If you've ever binge-watched a Netflix series, or fallen in a TikTok rabbithole, blame it on personalized AI! In this Masterplan Micro-Course, learn how Instagram, Netflix, and TikTok each use personalized AI in a different way based on their goals.")</f>
        <v>If you've ever binge-watched a Netflix series, or fallen in a TikTok rabbithole, blame it on personalized AI! In this Masterplan Micro-Course, learn how Instagram, Netflix, and TikTok each use personalized AI in a different way based on their goals.</v>
      </c>
      <c r="E262" s="25" t="str">
        <f>IFERROR(__xludf.DUMMYFUNCTION("""COMPUTED_VALUE"""),"Digital Literacy")</f>
        <v>Digital Literacy</v>
      </c>
      <c r="F262" s="10" t="str">
        <f>IFERROR(__xludf.DUMMYFUNCTION("""COMPUTED_VALUE"""),"AI Academy - Gianluca Mauro")</f>
        <v>AI Academy - Gianluca Mauro</v>
      </c>
      <c r="G262" s="11">
        <f>IFERROR(__xludf.DUMMYFUNCTION("""COMPUTED_VALUE"""),38.0)</f>
        <v>38</v>
      </c>
      <c r="H262" s="11">
        <f>IFERROR(__xludf.DUMMYFUNCTION("""COMPUTED_VALUE"""),15.0)</f>
        <v>15</v>
      </c>
      <c r="I262" s="12" t="str">
        <f>IFERROR(__xludf.DUMMYFUNCTION("""COMPUTED_VALUE"""),"English, German")</f>
        <v>English, German</v>
      </c>
      <c r="J262" s="12" t="str">
        <f>IFERROR(__xludf.DUMMYFUNCTION("""COMPUTED_VALUE"""),"English")</f>
        <v>English</v>
      </c>
      <c r="K262" s="13">
        <f>IFERROR(__xludf.DUMMYFUNCTION("""COMPUTED_VALUE"""),44865.0)</f>
        <v>44865</v>
      </c>
      <c r="L262" s="14" t="str">
        <f>IFERROR(__xludf.DUMMYFUNCTION("""COMPUTED_VALUE"""),"https://masterplan.com/courses/ki-deep-dive-personalisierung")</f>
        <v>https://masterplan.com/courses/ki-deep-dive-personalisierung</v>
      </c>
    </row>
    <row r="263">
      <c r="A263" s="15" t="str">
        <f>IFERROR(__xludf.DUMMYFUNCTION("""COMPUTED_VALUE"""),"KI Deep Dive: Warum so viele KI Projekte scheitern")</f>
        <v>KI Deep Dive: Warum so viele KI Projekte scheitern</v>
      </c>
      <c r="B263" s="16" t="str">
        <f>IFERROR(__xludf.DUMMYFUNCTION("""COMPUTED_VALUE"""),"AI Deep Dive: Why AI Projects Fail")</f>
        <v>AI Deep Dive: Why AI Projects Fail</v>
      </c>
      <c r="C263" s="17" t="str">
        <f>IFERROR(__xludf.DUMMYFUNCTION("""COMPUTED_VALUE"""),"Hättest du gedacht, dass 87% aller KI-Projekte nie umgesetzt werden? Doch woran scheitert die große Mehrzahl dieser Projekte? Lass uns herausfinden, warum besonders die Unternehmenskultur einen Unterschied macht und verhilf deinen KI-Projekte zum Erfolg!")</f>
        <v>Hättest du gedacht, dass 87% aller KI-Projekte nie umgesetzt werden? Doch woran scheitert die große Mehrzahl dieser Projekte? Lass uns herausfinden, warum besonders die Unternehmenskultur einen Unterschied macht und verhilf deinen KI-Projekte zum Erfolg!</v>
      </c>
      <c r="D263" s="17" t="str">
        <f>IFERROR(__xludf.DUMMYFUNCTION("""COMPUTED_VALUE"""),"Why do 87% of AI projects never get deployed? It might be because there's a lack of company culture, organizational readiness and projects risks! Let's learn about the secret of successful AI projects and the skills an AI leader needs! ")</f>
        <v>Why do 87% of AI projects never get deployed? It might be because there's a lack of company culture, organizational readiness and projects risks! Let's learn about the secret of successful AI projects and the skills an AI leader needs! </v>
      </c>
      <c r="E263" s="25" t="str">
        <f>IFERROR(__xludf.DUMMYFUNCTION("""COMPUTED_VALUE"""),"Digital Literacy")</f>
        <v>Digital Literacy</v>
      </c>
      <c r="F263" s="19" t="str">
        <f>IFERROR(__xludf.DUMMYFUNCTION("""COMPUTED_VALUE"""),"AI Academy - Gianluca Mauro")</f>
        <v>AI Academy - Gianluca Mauro</v>
      </c>
      <c r="G263" s="20">
        <f>IFERROR(__xludf.DUMMYFUNCTION("""COMPUTED_VALUE"""),23.0)</f>
        <v>23</v>
      </c>
      <c r="H263" s="20">
        <f>IFERROR(__xludf.DUMMYFUNCTION("""COMPUTED_VALUE"""),14.0)</f>
        <v>14</v>
      </c>
      <c r="I263" s="21" t="str">
        <f>IFERROR(__xludf.DUMMYFUNCTION("""COMPUTED_VALUE"""),"English, German")</f>
        <v>English, German</v>
      </c>
      <c r="J263" s="21" t="str">
        <f>IFERROR(__xludf.DUMMYFUNCTION("""COMPUTED_VALUE"""),"English")</f>
        <v>English</v>
      </c>
      <c r="K263" s="22">
        <f>IFERROR(__xludf.DUMMYFUNCTION("""COMPUTED_VALUE"""),44865.0)</f>
        <v>44865</v>
      </c>
      <c r="L263" s="23" t="str">
        <f>IFERROR(__xludf.DUMMYFUNCTION("""COMPUTED_VALUE"""),"https://masterplan.com/courses/ki-deep-dive-warum-so-viele-ki-projekte-scheitern")</f>
        <v>https://masterplan.com/courses/ki-deep-dive-warum-so-viele-ki-projekte-scheitern</v>
      </c>
    </row>
    <row r="264">
      <c r="A264" s="6" t="str">
        <f>IFERROR(__xludf.DUMMYFUNCTION("""COMPUTED_VALUE"""),"KI Deep Dive: Das Geheimnis selbstfahrender Autos")</f>
        <v>KI Deep Dive: Das Geheimnis selbstfahrender Autos</v>
      </c>
      <c r="B264" s="7" t="str">
        <f>IFERROR(__xludf.DUMMYFUNCTION("""COMPUTED_VALUE"""),"AI Deep Dive: The Secret of Self-Driving Cars")</f>
        <v>AI Deep Dive: The Secret of Self-Driving Cars</v>
      </c>
      <c r="C264" s="8" t="str">
        <f>IFERROR(__xludf.DUMMYFUNCTION("""COMPUTED_VALUE"""),"""Hände ans Steuer, Schulterblick nicht vergessen!"" Eine Verkehrsregel, die bald der Vergangenheit angehört? Die Entwicklung selbstfahrender Autos schreitet immer weiter voran. Welche Technik verbirgt sich dahinter und welche Rolle spielen dabei Tesla un"&amp;"d Domino's Pizza?")</f>
        <v>"Hände ans Steuer, Schulterblick nicht vergessen!" Eine Verkehrsregel, die bald der Vergangenheit angehört? Die Entwicklung selbstfahrender Autos schreitet immer weiter voran. Welche Technik verbirgt sich dahinter und welche Rolle spielen dabei Tesla und Domino's Pizza?</v>
      </c>
      <c r="D264" s="8" t="str">
        <f>IFERROR(__xludf.DUMMYFUNCTION("""COMPUTED_VALUE"""),"""Hands on the wheel, don't forget to look over your shoulder!"" A traffic rule that could soon be a thing of the past? The development of self-driving cars is advancing constantly. What is the underlying technology and what role do Tesla and Domino's Piz"&amp;"za play in this?")</f>
        <v>"Hands on the wheel, don't forget to look over your shoulder!" A traffic rule that could soon be a thing of the past? The development of self-driving cars is advancing constantly. What is the underlying technology and what role do Tesla and Domino's Pizza play in this?</v>
      </c>
      <c r="E264" s="25" t="str">
        <f>IFERROR(__xludf.DUMMYFUNCTION("""COMPUTED_VALUE"""),"Digital Literacy")</f>
        <v>Digital Literacy</v>
      </c>
      <c r="F264" s="10" t="str">
        <f>IFERROR(__xludf.DUMMYFUNCTION("""COMPUTED_VALUE"""),"AI Academy - Gianluca Mauro")</f>
        <v>AI Academy - Gianluca Mauro</v>
      </c>
      <c r="G264" s="11">
        <f>IFERROR(__xludf.DUMMYFUNCTION("""COMPUTED_VALUE"""),36.0)</f>
        <v>36</v>
      </c>
      <c r="H264" s="11">
        <f>IFERROR(__xludf.DUMMYFUNCTION("""COMPUTED_VALUE"""),13.0)</f>
        <v>13</v>
      </c>
      <c r="I264" s="12" t="str">
        <f>IFERROR(__xludf.DUMMYFUNCTION("""COMPUTED_VALUE"""),"English, German")</f>
        <v>English, German</v>
      </c>
      <c r="J264" s="12" t="str">
        <f>IFERROR(__xludf.DUMMYFUNCTION("""COMPUTED_VALUE"""),"English")</f>
        <v>English</v>
      </c>
      <c r="K264" s="13">
        <f>IFERROR(__xludf.DUMMYFUNCTION("""COMPUTED_VALUE"""),44859.0)</f>
        <v>44859</v>
      </c>
      <c r="L264" s="14" t="str">
        <f>IFERROR(__xludf.DUMMYFUNCTION("""COMPUTED_VALUE"""),"https://masterplan.com/courses/ki-deep-dive-das-geheimnis-selbstfahrender-autos")</f>
        <v>https://masterplan.com/courses/ki-deep-dive-das-geheimnis-selbstfahrender-autos</v>
      </c>
    </row>
    <row r="265">
      <c r="A265" s="15" t="str">
        <f>IFERROR(__xludf.DUMMYFUNCTION("""COMPUTED_VALUE"""),"Für den guten Zweck: Finanzmanagement in NPOs")</f>
        <v>Für den guten Zweck: Finanzmanagement in NPOs</v>
      </c>
      <c r="B265" s="16" t="str">
        <f>IFERROR(__xludf.DUMMYFUNCTION("""COMPUTED_VALUE"""),"For a Good Cause: Financial Management in NPOs")</f>
        <v>For a Good Cause: Financial Management in NPOs</v>
      </c>
      <c r="C265" s="17" t="str">
        <f>IFERROR(__xludf.DUMMYFUNCTION("""COMPUTED_VALUE"""),"Non-Profit-Organisationen, kurz NPOs, bilden das Rückgrat unserer Gesellschaft. Dabei sind sie häufig auf Spenden angewiesen. Ein geeignetes Finanzmanagement ist hier essenziell! Dieser Kurs zeigt dir, wie ein erfolgreiches Finanzmanagement in einer NPO a"&amp;"ussieht!")</f>
        <v>Non-Profit-Organisationen, kurz NPOs, bilden das Rückgrat unserer Gesellschaft. Dabei sind sie häufig auf Spenden angewiesen. Ein geeignetes Finanzmanagement ist hier essenziell! Dieser Kurs zeigt dir, wie ein erfolgreiches Finanzmanagement in einer NPO aussieht!</v>
      </c>
      <c r="D265" s="17" t="str">
        <f>IFERROR(__xludf.DUMMYFUNCTION("""COMPUTED_VALUE"""),"Non-profit organizations, or NPOs for short, are the backbone of our society. They are often dependent on donations. Appropriate financial management is essential here! This course shows you what successful financial management in an NPO looks like!")</f>
        <v>Non-profit organizations, or NPOs for short, are the backbone of our society. They are often dependent on donations. Appropriate financial management is essential here! This course shows you what successful financial management in an NPO looks like!</v>
      </c>
      <c r="E265" s="9" t="str">
        <f>IFERROR(__xludf.DUMMYFUNCTION("""COMPUTED_VALUE"""),"Global Citizenship")</f>
        <v>Global Citizenship</v>
      </c>
      <c r="F265" s="19" t="str">
        <f>IFERROR(__xludf.DUMMYFUNCTION("""COMPUTED_VALUE"""),"Propel Nonprofits")</f>
        <v>Propel Nonprofits</v>
      </c>
      <c r="G265" s="20">
        <f>IFERROR(__xludf.DUMMYFUNCTION("""COMPUTED_VALUE"""),40.0)</f>
        <v>40</v>
      </c>
      <c r="H265" s="20">
        <f>IFERROR(__xludf.DUMMYFUNCTION("""COMPUTED_VALUE"""),28.0)</f>
        <v>28</v>
      </c>
      <c r="I265" s="21" t="str">
        <f>IFERROR(__xludf.DUMMYFUNCTION("""COMPUTED_VALUE"""),"English, German")</f>
        <v>English, German</v>
      </c>
      <c r="J265" s="21" t="str">
        <f>IFERROR(__xludf.DUMMYFUNCTION("""COMPUTED_VALUE"""),"English")</f>
        <v>English</v>
      </c>
      <c r="K265" s="22">
        <f>IFERROR(__xludf.DUMMYFUNCTION("""COMPUTED_VALUE"""),44859.0)</f>
        <v>44859</v>
      </c>
      <c r="L265" s="23" t="str">
        <f>IFERROR(__xludf.DUMMYFUNCTION("""COMPUTED_VALUE"""),"https://masterplan.com/courses/fuer-den-guten-zweck-finanzmanagement-in-npos")</f>
        <v>https://masterplan.com/courses/fuer-den-guten-zweck-finanzmanagement-in-npos</v>
      </c>
    </row>
    <row r="266">
      <c r="A266" s="6" t="str">
        <f>IFERROR(__xludf.DUMMYFUNCTION("""COMPUTED_VALUE"""),"Data Science im Detail IV: Statistik")</f>
        <v>Data Science im Detail IV: Statistik</v>
      </c>
      <c r="B266" s="7" t="str">
        <f>IFERROR(__xludf.DUMMYFUNCTION("""COMPUTED_VALUE"""),"Data Science Deep Dive IV: Statistics")</f>
        <v>Data Science Deep Dive IV: Statistics</v>
      </c>
      <c r="C266" s="8" t="str">
        <f>IFERROR(__xludf.DUMMYFUNCTION("""COMPUTED_VALUE"""),"Wie wahrscheinlich ist es, nach diesem Kurs ein Master Data Scientist zu werden? Um das herauszufinden, brauchst du Statistik! Im letzten Schritt unseres Data Science Kurses lernst du, wie du deine Daten untersuchen, schätzen, grafisch darstellen und mode"&amp;"llieren kannst.")</f>
        <v>Wie wahrscheinlich ist es, nach diesem Kurs ein Master Data Scientist zu werden? Um das herauszufinden, brauchst du Statistik! Im letzten Schritt unseres Data Science Kurses lernst du, wie du deine Daten untersuchen, schätzen, grafisch darstellen und modellieren kannst.</v>
      </c>
      <c r="D266" s="8" t="str">
        <f>IFERROR(__xludf.DUMMYFUNCTION("""COMPUTED_VALUE"""),"What are the odds of becoming a master data scientist after this course? You'll need some statistics to find out! In the final step of our Data Science Deep Dive, you'll learn how to explore, estimate, graph, and model your data to test the best hypothese"&amp;"s.")</f>
        <v>What are the odds of becoming a master data scientist after this course? You'll need some statistics to find out! In the final step of our Data Science Deep Dive, you'll learn how to explore, estimate, graph, and model your data to test the best hypotheses.</v>
      </c>
      <c r="E266" s="25" t="str">
        <f>IFERROR(__xludf.DUMMYFUNCTION("""COMPUTED_VALUE"""),"Digital Literacy")</f>
        <v>Digital Literacy</v>
      </c>
      <c r="F266" s="31" t="str">
        <f>IFERROR(__xludf.DUMMYFUNCTION("""COMPUTED_VALUE"""),"datalab.cc")</f>
        <v>datalab.cc</v>
      </c>
      <c r="G266" s="11">
        <f>IFERROR(__xludf.DUMMYFUNCTION("""COMPUTED_VALUE"""),80.0)</f>
        <v>80</v>
      </c>
      <c r="H266" s="11">
        <f>IFERROR(__xludf.DUMMYFUNCTION("""COMPUTED_VALUE"""),39.0)</f>
        <v>39</v>
      </c>
      <c r="I266" s="12" t="str">
        <f>IFERROR(__xludf.DUMMYFUNCTION("""COMPUTED_VALUE"""),"English, German")</f>
        <v>English, German</v>
      </c>
      <c r="J266" s="12" t="str">
        <f>IFERROR(__xludf.DUMMYFUNCTION("""COMPUTED_VALUE"""),"English")</f>
        <v>English</v>
      </c>
      <c r="K266" s="13">
        <f>IFERROR(__xludf.DUMMYFUNCTION("""COMPUTED_VALUE"""),44859.0)</f>
        <v>44859</v>
      </c>
      <c r="L266" s="14" t="str">
        <f>IFERROR(__xludf.DUMMYFUNCTION("""COMPUTED_VALUE"""),"https://masterplan.com/courses/data-science-im-detail-iv-statistik")</f>
        <v>https://masterplan.com/courses/data-science-im-detail-iv-statistik</v>
      </c>
    </row>
    <row r="267">
      <c r="A267" s="15" t="str">
        <f>IFERROR(__xludf.DUMMYFUNCTION("""COMPUTED_VALUE"""),"Wie du Diversität &amp; Inklusion am Arbeitsplatz förderst")</f>
        <v>Wie du Diversität &amp; Inklusion am Arbeitsplatz förderst</v>
      </c>
      <c r="B267" s="16" t="str">
        <f>IFERROR(__xludf.DUMMYFUNCTION("""COMPUTED_VALUE"""),"How to Make the Workplace More Inclusive &amp; Diverse")</f>
        <v>How to Make the Workplace More Inclusive &amp; Diverse</v>
      </c>
      <c r="C267" s="17" t="str">
        <f>IFERROR(__xludf.DUMMYFUNCTION("""COMPUTED_VALUE"""),"Wer Talente gewinnen will, sollte ein integratives Umfeld zu schaffen, das jeden willkommen heißt und einbezieht. Wie das geht? Ein Unternehmen kann da einiges tun! Fang damit an, langfristig integrative Einstellungspraktiken einzuführen, von denen alle p"&amp;"rofitieren.")</f>
        <v>Wer Talente gewinnen will, sollte ein integratives Umfeld zu schaffen, das jeden willkommen heißt und einbezieht. Wie das geht? Ein Unternehmen kann da einiges tun! Fang damit an, langfristig integrative Einstellungspraktiken einzuführen, von denen alle profitieren.</v>
      </c>
      <c r="D267" s="17" t="str">
        <f>IFERROR(__xludf.DUMMYFUNCTION("""COMPUTED_VALUE"""),"Attracting talent is all about creating an inclusive environment that welcomes and includes all employees. Don't know how? There are many things that your organization can do! Start by establishing long-term inclusive hiring practices that benefit everyon"&amp;"e.")</f>
        <v>Attracting talent is all about creating an inclusive environment that welcomes and includes all employees. Don't know how? There are many things that your organization can do! Start by establishing long-term inclusive hiring practices that benefit everyone.</v>
      </c>
      <c r="E267" s="9" t="str">
        <f>IFERROR(__xludf.DUMMYFUNCTION("""COMPUTED_VALUE"""),"Global Citizenship")</f>
        <v>Global Citizenship</v>
      </c>
      <c r="F267" s="19" t="str">
        <f>IFERROR(__xludf.DUMMYFUNCTION("""COMPUTED_VALUE"""),"AIHR - Academy to Innovate HR")</f>
        <v>AIHR - Academy to Innovate HR</v>
      </c>
      <c r="G267" s="20">
        <f>IFERROR(__xludf.DUMMYFUNCTION("""COMPUTED_VALUE"""),14.0)</f>
        <v>14</v>
      </c>
      <c r="H267" s="20">
        <f>IFERROR(__xludf.DUMMYFUNCTION("""COMPUTED_VALUE"""),5.0)</f>
        <v>5</v>
      </c>
      <c r="I267" s="21" t="str">
        <f>IFERROR(__xludf.DUMMYFUNCTION("""COMPUTED_VALUE"""),"English, German")</f>
        <v>English, German</v>
      </c>
      <c r="J267" s="21" t="str">
        <f>IFERROR(__xludf.DUMMYFUNCTION("""COMPUTED_VALUE"""),"English")</f>
        <v>English</v>
      </c>
      <c r="K267" s="22">
        <f>IFERROR(__xludf.DUMMYFUNCTION("""COMPUTED_VALUE"""),44848.0)</f>
        <v>44848</v>
      </c>
      <c r="L267" s="23" t="str">
        <f>IFERROR(__xludf.DUMMYFUNCTION("""COMPUTED_VALUE"""),"https://masterplan.com/courses/wie-du-diversitaet-und-inklusion-am-arbeitsplatz-foerderst")</f>
        <v>https://masterplan.com/courses/wie-du-diversitaet-und-inklusion-am-arbeitsplatz-foerderst</v>
      </c>
    </row>
    <row r="268">
      <c r="A268" s="6" t="str">
        <f>IFERROR(__xludf.DUMMYFUNCTION("""COMPUTED_VALUE"""),"UNFCK SALES III: SPIN und die 4 Vertriebsprozesse")</f>
        <v>UNFCK SALES III: SPIN und die 4 Vertriebsprozesse</v>
      </c>
      <c r="B268" s="7" t="str">
        <f>IFERROR(__xludf.DUMMYFUNCTION("""COMPUTED_VALUE"""),"UNFCK SALES III: SPIN &amp; the 4 Sales Processes")</f>
        <v>UNFCK SALES III: SPIN &amp; the 4 Sales Processes</v>
      </c>
      <c r="C268" s="8" t="str">
        <f>IFERROR(__xludf.DUMMYFUNCTION("""COMPUTED_VALUE"""),"""I'm spinning around""... Was Kylies Hit mit Vertriebsprozessen zu tun hat? Ehrlich gesagt nicht wahnsinnig viel, dennoch solltest du ihn dir hin und wieder in Erinnerung rufen – auf das ""SPIN"" kommt's nämlich an! ")</f>
        <v>"I'm spinning around"... Was Kylies Hit mit Vertriebsprozessen zu tun hat? Ehrlich gesagt nicht wahnsinnig viel, dennoch solltest du ihn dir hin und wieder in Erinnerung rufen – auf das "SPIN" kommt's nämlich an! </v>
      </c>
      <c r="D268" s="8" t="str">
        <f>IFERROR(__xludf.DUMMYFUNCTION("""COMPUTED_VALUE"""),"""I'm spinning around..."" What does Kylie's hit have to do with sales processes? To be honest, not very much, but you should remind yourself of it every now and then - it's the ""SPIN"" that counts! ")</f>
        <v>"I'm spinning around..." What does Kylie's hit have to do with sales processes? To be honest, not very much, but you should remind yourself of it every now and then - it's the "SPIN" that counts! </v>
      </c>
      <c r="E268" s="9" t="str">
        <f>IFERROR(__xludf.DUMMYFUNCTION("""COMPUTED_VALUE"""),"Global Citizenship")</f>
        <v>Global Citizenship</v>
      </c>
      <c r="F268" s="10" t="str">
        <f>IFERROR(__xludf.DUMMYFUNCTION("""COMPUTED_VALUE"""),"Morten Wolff - Morten Wolff")</f>
        <v>Morten Wolff - Morten Wolff</v>
      </c>
      <c r="G268" s="11">
        <f>IFERROR(__xludf.DUMMYFUNCTION("""COMPUTED_VALUE"""),47.0)</f>
        <v>47</v>
      </c>
      <c r="H268" s="11">
        <f>IFERROR(__xludf.DUMMYFUNCTION("""COMPUTED_VALUE"""),26.0)</f>
        <v>26</v>
      </c>
      <c r="I268" s="12" t="str">
        <f>IFERROR(__xludf.DUMMYFUNCTION("""COMPUTED_VALUE"""),"English, German")</f>
        <v>English, German</v>
      </c>
      <c r="J268" s="12" t="str">
        <f>IFERROR(__xludf.DUMMYFUNCTION("""COMPUTED_VALUE"""),"German")</f>
        <v>German</v>
      </c>
      <c r="K268" s="13">
        <f>IFERROR(__xludf.DUMMYFUNCTION("""COMPUTED_VALUE"""),44834.0)</f>
        <v>44834</v>
      </c>
      <c r="L268" s="14" t="str">
        <f>IFERROR(__xludf.DUMMYFUNCTION("""COMPUTED_VALUE"""),"https://masterplan.com/courses/unfck-sales-iii-spin-und-die-4-vertriebsprozesse")</f>
        <v>https://masterplan.com/courses/unfck-sales-iii-spin-und-die-4-vertriebsprozesse</v>
      </c>
    </row>
    <row r="269">
      <c r="A269" s="15" t="str">
        <f>IFERROR(__xludf.DUMMYFUNCTION("""COMPUTED_VALUE"""),"UNFCK SALES IV: Preise verhandeln, aber richtig!")</f>
        <v>UNFCK SALES IV: Preise verhandeln, aber richtig!</v>
      </c>
      <c r="B269" s="16" t="str">
        <f>IFERROR(__xludf.DUMMYFUNCTION("""COMPUTED_VALUE"""),"UNFCK SALES IV: Negotiate Prices Like a Pro!")</f>
        <v>UNFCK SALES IV: Negotiate Prices Like a Pro!</v>
      </c>
      <c r="C269" s="17" t="str">
        <f>IFERROR(__xludf.DUMMYFUNCTION("""COMPUTED_VALUE"""),"Nichts ist im Vertrieb so hart umkämpft wie der Preis. Unser vierter Kurs unserer Sales-Reihe bereitet dich auf die knausrigste Kundschaft vor! Erfahre, wie du Preisvorstellungen gekonnt lenkst und mit welchen Techniken du jede Preisverhandlung für dich e"&amp;"ntscheidest.")</f>
        <v>Nichts ist im Vertrieb so hart umkämpft wie der Preis. Unser vierter Kurs unserer Sales-Reihe bereitet dich auf die knausrigste Kundschaft vor! Erfahre, wie du Preisvorstellungen gekonnt lenkst und mit welchen Techniken du jede Preisverhandlung für dich entscheidest.</v>
      </c>
      <c r="D269" s="17" t="str">
        <f>IFERROR(__xludf.DUMMYFUNCTION("""COMPUTED_VALUE"""),"Nothing is more competitive in sales than price. Our fourth course in our sales series will prepare you for the stingiest customers! Learn how to skillfully control price expectations and which techniques you can use to win every price negotiation.")</f>
        <v>Nothing is more competitive in sales than price. Our fourth course in our sales series will prepare you for the stingiest customers! Learn how to skillfully control price expectations and which techniques you can use to win every price negotiation.</v>
      </c>
      <c r="E269" s="9" t="str">
        <f>IFERROR(__xludf.DUMMYFUNCTION("""COMPUTED_VALUE"""),"Global Citizenship")</f>
        <v>Global Citizenship</v>
      </c>
      <c r="F269" s="19" t="str">
        <f>IFERROR(__xludf.DUMMYFUNCTION("""COMPUTED_VALUE"""),"Morten Wolff - Morten Wolff")</f>
        <v>Morten Wolff - Morten Wolff</v>
      </c>
      <c r="G269" s="20">
        <f>IFERROR(__xludf.DUMMYFUNCTION("""COMPUTED_VALUE"""),64.0)</f>
        <v>64</v>
      </c>
      <c r="H269" s="20">
        <f>IFERROR(__xludf.DUMMYFUNCTION("""COMPUTED_VALUE"""),27.0)</f>
        <v>27</v>
      </c>
      <c r="I269" s="21" t="str">
        <f>IFERROR(__xludf.DUMMYFUNCTION("""COMPUTED_VALUE"""),"English, German")</f>
        <v>English, German</v>
      </c>
      <c r="J269" s="21" t="str">
        <f>IFERROR(__xludf.DUMMYFUNCTION("""COMPUTED_VALUE"""),"German")</f>
        <v>German</v>
      </c>
      <c r="K269" s="22">
        <f>IFERROR(__xludf.DUMMYFUNCTION("""COMPUTED_VALUE"""),44834.0)</f>
        <v>44834</v>
      </c>
      <c r="L269" s="23" t="str">
        <f>IFERROR(__xludf.DUMMYFUNCTION("""COMPUTED_VALUE"""),"https://masterplan.com/courses/unfck-sales-iv-preise-verhandeln-aber-richtig")</f>
        <v>https://masterplan.com/courses/unfck-sales-iv-preise-verhandeln-aber-richtig</v>
      </c>
    </row>
    <row r="270">
      <c r="A270" s="6" t="str">
        <f>IFERROR(__xludf.DUMMYFUNCTION("""COMPUTED_VALUE"""),"Neuigkeiten in KI &amp; Tech September IV")</f>
        <v>Neuigkeiten in KI &amp; Tech September IV</v>
      </c>
      <c r="B270" s="7" t="str">
        <f>IFERROR(__xludf.DUMMYFUNCTION("""COMPUTED_VALUE"""),"News in AI &amp; Tech September IV")</f>
        <v>News in AI &amp; Tech September IV</v>
      </c>
      <c r="C270" s="8" t="str">
        <f>IFERROR(__xludf.DUMMYFUNCTION("""COMPUTED_VALUE""")," Wir arbeiten immer mehr mit Maschinen und KI. Welchen Bedrohungen und Herausforderungen müssen wir uns stellen, um die Zukunft ethisch zu gestalten? Dieses Tech-Update mit Gianluca befasst sich mit den ethischen Herausforderungen der KI.")</f>
        <v> Wir arbeiten immer mehr mit Maschinen und KI. Welchen Bedrohungen und Herausforderungen müssen wir uns stellen, um die Zukunft ethisch zu gestalten? Dieses Tech-Update mit Gianluca befasst sich mit den ethischen Herausforderungen der KI.</v>
      </c>
      <c r="D270" s="8" t="str">
        <f>IFERROR(__xludf.DUMMYFUNCTION("""COMPUTED_VALUE"""),"We work more and more with machines and AI, what are the threats and challenges we have to face in order to build an ethical future? This Tech-Update with Gianluca faces the ethical challenges of AI.")</f>
        <v>We work more and more with machines and AI, what are the threats and challenges we have to face in order to build an ethical future? This Tech-Update with Gianluca faces the ethical challenges of AI.</v>
      </c>
      <c r="E270" s="25" t="str">
        <f>IFERROR(__xludf.DUMMYFUNCTION("""COMPUTED_VALUE"""),"Digital Literacy")</f>
        <v>Digital Literacy</v>
      </c>
      <c r="F270" s="10" t="str">
        <f>IFERROR(__xludf.DUMMYFUNCTION("""COMPUTED_VALUE"""),"AI Academy - Gianluca Mauro")</f>
        <v>AI Academy - Gianluca Mauro</v>
      </c>
      <c r="G270" s="11">
        <f>IFERROR(__xludf.DUMMYFUNCTION("""COMPUTED_VALUE"""),16.0)</f>
        <v>16</v>
      </c>
      <c r="H270" s="11">
        <f>IFERROR(__xludf.DUMMYFUNCTION("""COMPUTED_VALUE"""),1.0)</f>
        <v>1</v>
      </c>
      <c r="I270" s="12" t="str">
        <f>IFERROR(__xludf.DUMMYFUNCTION("""COMPUTED_VALUE"""),"English, German")</f>
        <v>English, German</v>
      </c>
      <c r="J270" s="12" t="str">
        <f>IFERROR(__xludf.DUMMYFUNCTION("""COMPUTED_VALUE"""),"English")</f>
        <v>English</v>
      </c>
      <c r="K270" s="13">
        <f>IFERROR(__xludf.DUMMYFUNCTION("""COMPUTED_VALUE"""),44834.0)</f>
        <v>44834</v>
      </c>
      <c r="L270" s="14" t="str">
        <f>IFERROR(__xludf.DUMMYFUNCTION("""COMPUTED_VALUE"""),"https://masterplan.com/courses/tech-updates-september-iv")</f>
        <v>https://masterplan.com/courses/tech-updates-september-iv</v>
      </c>
    </row>
    <row r="271">
      <c r="A271" s="15" t="str">
        <f>IFERROR(__xludf.DUMMYFUNCTION("""COMPUTED_VALUE"""),"Neuigkeiten in KI &amp; Tech September III")</f>
        <v>Neuigkeiten in KI &amp; Tech September III</v>
      </c>
      <c r="B271" s="16" t="str">
        <f>IFERROR(__xludf.DUMMYFUNCTION("""COMPUTED_VALUE"""),"News in AI &amp; Tech September III")</f>
        <v>News in AI &amp; Tech September III</v>
      </c>
      <c r="C271" s="17"/>
      <c r="D271" s="17"/>
      <c r="E271" s="25" t="str">
        <f>IFERROR(__xludf.DUMMYFUNCTION("""COMPUTED_VALUE"""),"Digital Literacy")</f>
        <v>Digital Literacy</v>
      </c>
      <c r="F271" s="19" t="str">
        <f>IFERROR(__xludf.DUMMYFUNCTION("""COMPUTED_VALUE"""),"AI Academy - Gianluca Mauro")</f>
        <v>AI Academy - Gianluca Mauro</v>
      </c>
      <c r="G271" s="20">
        <f>IFERROR(__xludf.DUMMYFUNCTION("""COMPUTED_VALUE"""),8.0)</f>
        <v>8</v>
      </c>
      <c r="H271" s="20">
        <f>IFERROR(__xludf.DUMMYFUNCTION("""COMPUTED_VALUE"""),1.0)</f>
        <v>1</v>
      </c>
      <c r="I271" s="21" t="str">
        <f>IFERROR(__xludf.DUMMYFUNCTION("""COMPUTED_VALUE"""),"English, German")</f>
        <v>English, German</v>
      </c>
      <c r="J271" s="21" t="str">
        <f>IFERROR(__xludf.DUMMYFUNCTION("""COMPUTED_VALUE"""),"English")</f>
        <v>English</v>
      </c>
      <c r="K271" s="22">
        <f>IFERROR(__xludf.DUMMYFUNCTION("""COMPUTED_VALUE"""),44833.0)</f>
        <v>44833</v>
      </c>
      <c r="L271" s="23" t="str">
        <f>IFERROR(__xludf.DUMMYFUNCTION("""COMPUTED_VALUE"""),"https://masterplan.com/courses/tech-updates-september-iii")</f>
        <v>https://masterplan.com/courses/tech-updates-september-iii</v>
      </c>
    </row>
    <row r="272">
      <c r="A272" s="6" t="str">
        <f>IFERROR(__xludf.DUMMYFUNCTION("""COMPUTED_VALUE"""),"UNFCK SALES I: Das High Performer 1x1")</f>
        <v>UNFCK SALES I: Das High Performer 1x1</v>
      </c>
      <c r="B272" s="7" t="str">
        <f>IFERROR(__xludf.DUMMYFUNCTION("""COMPUTED_VALUE"""),"UNFCK SALES I: The High Performer 101")</f>
        <v>UNFCK SALES I: The High Performer 101</v>
      </c>
      <c r="C272" s="8" t="str">
        <f>IFERROR(__xludf.DUMMYFUNCTION("""COMPUTED_VALUE"""),"Welche Eigenschaften machen Highperformer so erfolgreich? Alles nur eine Frage der Verkaufsmasche? So viel sei dir verraten: Mit den richtigen Fragen schaffst du Vertrauen. Und wer sich ehrlich für seine Kund:innen interessier, macht am Ende den Sack zu!")</f>
        <v>Welche Eigenschaften machen Highperformer so erfolgreich? Alles nur eine Frage der Verkaufsmasche? So viel sei dir verraten: Mit den richtigen Fragen schaffst du Vertrauen. Und wer sich ehrlich für seine Kund:innen interessier, macht am Ende den Sack zu!</v>
      </c>
      <c r="D272" s="8" t="str">
        <f>IFERROR(__xludf.DUMMYFUNCTION("""COMPUTED_VALUE"""),"What qualities make high performers so successful? Does it all just come down to the right pitch? Let me tell you this much: By asking the right questions, you create trust. And if you're honestly interested in your customers, you'll close the deal in the"&amp;" end!")</f>
        <v>What qualities make high performers so successful? Does it all just come down to the right pitch? Let me tell you this much: By asking the right questions, you create trust. And if you're honestly interested in your customers, you'll close the deal in the end!</v>
      </c>
      <c r="E272" s="9" t="str">
        <f>IFERROR(__xludf.DUMMYFUNCTION("""COMPUTED_VALUE"""),"Global Citizenship")</f>
        <v>Global Citizenship</v>
      </c>
      <c r="F272" s="10" t="str">
        <f>IFERROR(__xludf.DUMMYFUNCTION("""COMPUTED_VALUE"""),"Morten Wolff - Morten Wolff")</f>
        <v>Morten Wolff - Morten Wolff</v>
      </c>
      <c r="G272" s="11">
        <f>IFERROR(__xludf.DUMMYFUNCTION("""COMPUTED_VALUE"""),68.0)</f>
        <v>68</v>
      </c>
      <c r="H272" s="11">
        <f>IFERROR(__xludf.DUMMYFUNCTION("""COMPUTED_VALUE"""),30.0)</f>
        <v>30</v>
      </c>
      <c r="I272" s="12" t="str">
        <f>IFERROR(__xludf.DUMMYFUNCTION("""COMPUTED_VALUE"""),"English, German")</f>
        <v>English, German</v>
      </c>
      <c r="J272" s="12" t="str">
        <f>IFERROR(__xludf.DUMMYFUNCTION("""COMPUTED_VALUE"""),"German")</f>
        <v>German</v>
      </c>
      <c r="K272" s="13">
        <f>IFERROR(__xludf.DUMMYFUNCTION("""COMPUTED_VALUE"""),44831.0)</f>
        <v>44831</v>
      </c>
      <c r="L272" s="14" t="str">
        <f>IFERROR(__xludf.DUMMYFUNCTION("""COMPUTED_VALUE"""),"https://masterplan.com/courses/unfck-sales-i-das-high-performer-1-1")</f>
        <v>https://masterplan.com/courses/unfck-sales-i-das-high-performer-1-1</v>
      </c>
    </row>
    <row r="273">
      <c r="A273" s="15" t="str">
        <f>IFERROR(__xludf.DUMMYFUNCTION("""COMPUTED_VALUE"""),"UNFCK SALES II: Eiskalt akquiriert")</f>
        <v>UNFCK SALES II: Eiskalt akquiriert</v>
      </c>
      <c r="B273" s="16" t="str">
        <f>IFERROR(__xludf.DUMMYFUNCTION("""COMPUTED_VALUE"""),"UNFCK SALES II: Heat Up Your Cold Calls")</f>
        <v>UNFCK SALES II: Heat Up Your Cold Calls</v>
      </c>
      <c r="C273" s="17" t="str">
        <f>IFERROR(__xludf.DUMMYFUNCTION("""COMPUTED_VALUE"""),"Ice Ice Baby: Die Kaltakquise ist ein mächtiges Werkzeug im Vertrieb - wenn es nicht ein paar Stolpersteine gäbe. Ob per Telefon oder E-Mail, in diesem Kurs verrät dir Morten Wolff die Basics der Kaltakquise und wie du Neukunden zu Bestandskunden machst.")</f>
        <v>Ice Ice Baby: Die Kaltakquise ist ein mächtiges Werkzeug im Vertrieb - wenn es nicht ein paar Stolpersteine gäbe. Ob per Telefon oder E-Mail, in diesem Kurs verrät dir Morten Wolff die Basics der Kaltakquise und wie du Neukunden zu Bestandskunden machst.</v>
      </c>
      <c r="D273" s="17" t="str">
        <f>IFERROR(__xludf.DUMMYFUNCTION("""COMPUTED_VALUE"""),"Ice Ice Baby: Cold calling is a powerful tool in sales - if it weren't for a few stumbling blocks. Whether by phone or email, in this course Morten Wolff reveals the basics of cold calling and how to turn new customers into established ones.")</f>
        <v>Ice Ice Baby: Cold calling is a powerful tool in sales - if it weren't for a few stumbling blocks. Whether by phone or email, in this course Morten Wolff reveals the basics of cold calling and how to turn new customers into established ones.</v>
      </c>
      <c r="E273" s="9" t="str">
        <f>IFERROR(__xludf.DUMMYFUNCTION("""COMPUTED_VALUE"""),"Global Citizenship")</f>
        <v>Global Citizenship</v>
      </c>
      <c r="F273" s="19" t="str">
        <f>IFERROR(__xludf.DUMMYFUNCTION("""COMPUTED_VALUE"""),"Morten Wolff - Morten Wolff")</f>
        <v>Morten Wolff - Morten Wolff</v>
      </c>
      <c r="G273" s="20">
        <f>IFERROR(__xludf.DUMMYFUNCTION("""COMPUTED_VALUE"""),83.0)</f>
        <v>83</v>
      </c>
      <c r="H273" s="20">
        <f>IFERROR(__xludf.DUMMYFUNCTION("""COMPUTED_VALUE"""),40.0)</f>
        <v>40</v>
      </c>
      <c r="I273" s="21" t="str">
        <f>IFERROR(__xludf.DUMMYFUNCTION("""COMPUTED_VALUE"""),"English, German")</f>
        <v>English, German</v>
      </c>
      <c r="J273" s="21" t="str">
        <f>IFERROR(__xludf.DUMMYFUNCTION("""COMPUTED_VALUE"""),"German")</f>
        <v>German</v>
      </c>
      <c r="K273" s="22">
        <f>IFERROR(__xludf.DUMMYFUNCTION("""COMPUTED_VALUE"""),44831.0)</f>
        <v>44831</v>
      </c>
      <c r="L273" s="23" t="str">
        <f>IFERROR(__xludf.DUMMYFUNCTION("""COMPUTED_VALUE"""),"https://masterplan.com/courses/unfck-sales-ii-eiskalt-akquiriert")</f>
        <v>https://masterplan.com/courses/unfck-sales-ii-eiskalt-akquiriert</v>
      </c>
    </row>
    <row r="274">
      <c r="A274" s="6" t="str">
        <f>IFERROR(__xludf.DUMMYFUNCTION("""COMPUTED_VALUE"""),"14 Kernkompetenzen erfolgreicher HR Manager:innen
")</f>
        <v>14 Kernkompetenzen erfolgreicher HR Manager:innen
</v>
      </c>
      <c r="B274" s="7" t="str">
        <f>IFERROR(__xludf.DUMMYFUNCTION("""COMPUTED_VALUE"""),"Skills &amp; Competencies: What Makes a Successful HR Leader?")</f>
        <v>Skills &amp; Competencies: What Makes a Successful HR Leader?</v>
      </c>
      <c r="C274" s="8" t="str">
        <f>IFERROR(__xludf.DUMMYFUNCTION("""COMPUTED_VALUE"""),"Was sind wichtige Kommunikationsfähigkeiten, die jede:r Personalverantwortliche haben sollte? Welche digitalen Fähigkeiten sind  in der HR-Abteilung erforderlich? Erfahre mehr über die Fähigkeiten, die zu Erfolg im Personalwesen führen!")</f>
        <v>Was sind wichtige Kommunikationsfähigkeiten, die jede:r Personalverantwortliche haben sollte? Welche digitalen Fähigkeiten sind  in der HR-Abteilung erforderlich? Erfahre mehr über die Fähigkeiten, die zu Erfolg im Personalwesen führen!</v>
      </c>
      <c r="D274" s="8" t="str">
        <f>IFERROR(__xludf.DUMMYFUNCTION("""COMPUTED_VALUE"""),"What are the three essential communications skills every HR professional should have? What digital skills are necessary in HR today? Learn about the core digital, coaching, and interpersonal skills necessary to build a strong foundation for success in HR!")</f>
        <v>What are the three essential communications skills every HR professional should have? What digital skills are necessary in HR today? Learn about the core digital, coaching, and interpersonal skills necessary to build a strong foundation for success in HR!</v>
      </c>
      <c r="E274" s="9" t="str">
        <f>IFERROR(__xludf.DUMMYFUNCTION("""COMPUTED_VALUE"""),"Global Citizenship")</f>
        <v>Global Citizenship</v>
      </c>
      <c r="F274" s="10" t="str">
        <f>IFERROR(__xludf.DUMMYFUNCTION("""COMPUTED_VALUE"""),"AIHR - Academy to Innovate HR")</f>
        <v>AIHR - Academy to Innovate HR</v>
      </c>
      <c r="G274" s="11">
        <f>IFERROR(__xludf.DUMMYFUNCTION("""COMPUTED_VALUE"""),20.0)</f>
        <v>20</v>
      </c>
      <c r="H274" s="11">
        <f>IFERROR(__xludf.DUMMYFUNCTION("""COMPUTED_VALUE"""),7.0)</f>
        <v>7</v>
      </c>
      <c r="I274" s="12" t="str">
        <f>IFERROR(__xludf.DUMMYFUNCTION("""COMPUTED_VALUE"""),"English, German")</f>
        <v>English, German</v>
      </c>
      <c r="J274" s="12" t="str">
        <f>IFERROR(__xludf.DUMMYFUNCTION("""COMPUTED_VALUE"""),"English")</f>
        <v>English</v>
      </c>
      <c r="K274" s="13">
        <f>IFERROR(__xludf.DUMMYFUNCTION("""COMPUTED_VALUE"""),44826.0)</f>
        <v>44826</v>
      </c>
      <c r="L274" s="14" t="str">
        <f>IFERROR(__xludf.DUMMYFUNCTION("""COMPUTED_VALUE"""),"https://masterplan.com/courses/14-kernkompetenzen-erfolgreicher-hr-managerinnen")</f>
        <v>https://masterplan.com/courses/14-kernkompetenzen-erfolgreicher-hr-managerinnen</v>
      </c>
    </row>
    <row r="275">
      <c r="A275" s="15" t="str">
        <f>IFERROR(__xludf.DUMMYFUNCTION("""COMPUTED_VALUE"""),"Neuigkeiten in KI &amp; Tech September II")</f>
        <v>Neuigkeiten in KI &amp; Tech September II</v>
      </c>
      <c r="B275" s="16" t="str">
        <f>IFERROR(__xludf.DUMMYFUNCTION("""COMPUTED_VALUE"""),"News in AI &amp; Tech September II")</f>
        <v>News in AI &amp; Tech September II</v>
      </c>
      <c r="C275" s="17" t="str">
        <f>IFERROR(__xludf.DUMMYFUNCTION("""COMPUTED_VALUE"""),"“The Merge” is here! A historic moment for crypto
This week it’s all around Ethereum and „the merge.” Ethereum moved from proof of work to proof of stake and Gianluca explains what this means for the Crypto Industry.
")</f>
        <v>“The Merge” is here! A historic moment for crypto
This week it’s all around Ethereum and „the merge.” Ethereum moved from proof of work to proof of stake and Gianluca explains what this means for the Crypto Industry.
</v>
      </c>
      <c r="D275" s="17" t="str">
        <f>IFERROR(__xludf.DUMMYFUNCTION("""COMPUTED_VALUE"""),"“The Merge” is here! A historic moment for crypto
This week it’s all around Ethereum and „the merge.” Ethereum moved from proof of work to proof of stake and Gianluca explains what this means for the Crypto Industry.")</f>
        <v>“The Merge” is here! A historic moment for crypto
This week it’s all around Ethereum and „the merge.” Ethereum moved from proof of work to proof of stake and Gianluca explains what this means for the Crypto Industry.</v>
      </c>
      <c r="E275" s="25" t="str">
        <f>IFERROR(__xludf.DUMMYFUNCTION("""COMPUTED_VALUE"""),"Digital Literacy")</f>
        <v>Digital Literacy</v>
      </c>
      <c r="F275" s="19" t="str">
        <f>IFERROR(__xludf.DUMMYFUNCTION("""COMPUTED_VALUE"""),"AI Academy - Gianluca Mauro")</f>
        <v>AI Academy - Gianluca Mauro</v>
      </c>
      <c r="G275" s="20">
        <f>IFERROR(__xludf.DUMMYFUNCTION("""COMPUTED_VALUE"""),12.0)</f>
        <v>12</v>
      </c>
      <c r="H275" s="20">
        <f>IFERROR(__xludf.DUMMYFUNCTION("""COMPUTED_VALUE"""),1.0)</f>
        <v>1</v>
      </c>
      <c r="I275" s="21" t="str">
        <f>IFERROR(__xludf.DUMMYFUNCTION("""COMPUTED_VALUE"""),"English, German")</f>
        <v>English, German</v>
      </c>
      <c r="J275" s="21" t="str">
        <f>IFERROR(__xludf.DUMMYFUNCTION("""COMPUTED_VALUE"""),"English")</f>
        <v>English</v>
      </c>
      <c r="K275" s="22">
        <f>IFERROR(__xludf.DUMMYFUNCTION("""COMPUTED_VALUE"""),44820.0)</f>
        <v>44820</v>
      </c>
      <c r="L275" s="23" t="str">
        <f>IFERROR(__xludf.DUMMYFUNCTION("""COMPUTED_VALUE"""),"https://masterplan.com/courses/tech-updates-september-ii")</f>
        <v>https://masterplan.com/courses/tech-updates-september-ii</v>
      </c>
    </row>
    <row r="276">
      <c r="A276" s="6" t="str">
        <f>IFERROR(__xludf.DUMMYFUNCTION("""COMPUTED_VALUE"""),"Wie man mit transgender Menschen spricht – und ihnen zuhört")</f>
        <v>Wie man mit transgender Menschen spricht – und ihnen zuhört</v>
      </c>
      <c r="B276" s="7" t="str">
        <f>IFERROR(__xludf.DUMMYFUNCTION("""COMPUTED_VALUE"""),"How to Talk (and Listen) to Transgender People")</f>
        <v>How to Talk (and Listen) to Transgender People</v>
      </c>
      <c r="C276" s="8" t="str">
        <f>IFERROR(__xludf.DUMMYFUNCTION("""COMPUTED_VALUE"""),"""Trans zu sein ist unangenehm–  nicht nur, weil das Geschlecht, das mir bei der Geburt zugewiesen wurde, nicht meinem wahren entspricht, sondern auch, weil Menschen in meiner Nähe unangenehm werden. "" Jackson Bird erzählt, wie er Unbeholfenheit in Verst"&amp;"ändnis umwandelt.")</f>
        <v>"Trans zu sein ist unangenehm–  nicht nur, weil das Geschlecht, das mir bei der Geburt zugewiesen wurde, nicht meinem wahren entspricht, sondern auch, weil Menschen in meiner Nähe unangenehm werden. " Jackson Bird erzählt, wie er Unbeholfenheit in Verständnis umwandelt.</v>
      </c>
      <c r="D276" s="8" t="str">
        <f>IFERROR(__xludf.DUMMYFUNCTION("""COMPUTED_VALUE"""),"""Being trans is awkward– and not just because the gender I was assigned at birth mismatches the one I really am, but because everyone else gets really awkward when they're around me."" Here Jackson Bird shares his take on turning awkwardness into underst"&amp;"anding.")</f>
        <v>"Being trans is awkward– and not just because the gender I was assigned at birth mismatches the one I really am, but because everyone else gets really awkward when they're around me." Here Jackson Bird shares his take on turning awkwardness into understanding.</v>
      </c>
      <c r="E276" s="24" t="str">
        <f>IFERROR(__xludf.DUMMYFUNCTION("""COMPUTED_VALUE"""),"Emotional Intelligence")</f>
        <v>Emotional Intelligence</v>
      </c>
      <c r="F276" s="10" t="str">
        <f>IFERROR(__xludf.DUMMYFUNCTION("""COMPUTED_VALUE"""),"TED")</f>
        <v>TED</v>
      </c>
      <c r="G276" s="11">
        <f>IFERROR(__xludf.DUMMYFUNCTION("""COMPUTED_VALUE"""),6.0)</f>
        <v>6</v>
      </c>
      <c r="H276" s="11">
        <f>IFERROR(__xludf.DUMMYFUNCTION("""COMPUTED_VALUE"""),1.0)</f>
        <v>1</v>
      </c>
      <c r="I276" s="12" t="str">
        <f>IFERROR(__xludf.DUMMYFUNCTION("""COMPUTED_VALUE"""),"English, German")</f>
        <v>English, German</v>
      </c>
      <c r="J276" s="12" t="str">
        <f>IFERROR(__xludf.DUMMYFUNCTION("""COMPUTED_VALUE"""),"English")</f>
        <v>English</v>
      </c>
      <c r="K276" s="13">
        <f>IFERROR(__xludf.DUMMYFUNCTION("""COMPUTED_VALUE"""),44818.0)</f>
        <v>44818</v>
      </c>
      <c r="L276" s="14" t="str">
        <f>IFERROR(__xludf.DUMMYFUNCTION("""COMPUTED_VALUE"""),"https://masterplan.com/courses/wie-man-mit-transgender-menschen-spricht-und-ihnen-zuhoert")</f>
        <v>https://masterplan.com/courses/wie-man-mit-transgender-menschen-spricht-und-ihnen-zuhoert</v>
      </c>
    </row>
    <row r="277">
      <c r="A277" s="15" t="str">
        <f>IFERROR(__xludf.DUMMYFUNCTION("""COMPUTED_VALUE"""),"[OFFLINE]  Elon Musk, wie sieht unsere Zukunft aus?")</f>
        <v>[OFFLINE]  Elon Musk, wie sieht unsere Zukunft aus?</v>
      </c>
      <c r="B277" s="16" t="str">
        <f>IFERROR(__xludf.DUMMYFUNCTION("""COMPUTED_VALUE"""),"A Future Worth Getting Excited About")</f>
        <v>A Future Worth Getting Excited About</v>
      </c>
      <c r="C277" s="17" t="str">
        <f>IFERROR(__xludf.DUMMYFUNCTION("""COMPUTED_VALUE"""),"Im April 2022 setzten sich Elon Musk und der Head of TED Chris Anderson für eine Stunde zusammen. Der Unternehmer stellte sich vielen spannenden Fragen: Wie werden wir in Zukunft Energie speichern? Werden wir mit Robotern zusammenleben? Gibt es bald Leben"&amp;" auf dem Mars? ")</f>
        <v>Im April 2022 setzten sich Elon Musk und der Head of TED Chris Anderson für eine Stunde zusammen. Der Unternehmer stellte sich vielen spannenden Fragen: Wie werden wir in Zukunft Energie speichern? Werden wir mit Robotern zusammenleben? Gibt es bald Leben auf dem Mars? </v>
      </c>
      <c r="D277" s="17" t="str">
        <f>IFERROR(__xludf.DUMMYFUNCTION("""COMPUTED_VALUE"""),"In April 2022, Elon Musk and Head of TED Chris Anderson sat down for an hour. The entrepreneur addressed many exciting questions: How will we store energy in the future? Will we live together with robots? Will there soon be life on Mars?")</f>
        <v>In April 2022, Elon Musk and Head of TED Chris Anderson sat down for an hour. The entrepreneur addressed many exciting questions: How will we store energy in the future? Will we live together with robots? Will there soon be life on Mars?</v>
      </c>
      <c r="E277" s="25" t="str">
        <f>IFERROR(__xludf.DUMMYFUNCTION("""COMPUTED_VALUE"""),"Digital Literacy")</f>
        <v>Digital Literacy</v>
      </c>
      <c r="F277" s="19" t="str">
        <f>IFERROR(__xludf.DUMMYFUNCTION("""COMPUTED_VALUE"""),"TED - Elon Musk")</f>
        <v>TED - Elon Musk</v>
      </c>
      <c r="G277" s="20">
        <f>IFERROR(__xludf.DUMMYFUNCTION("""COMPUTED_VALUE"""),66.0)</f>
        <v>66</v>
      </c>
      <c r="H277" s="20">
        <f>IFERROR(__xludf.DUMMYFUNCTION("""COMPUTED_VALUE"""),18.0)</f>
        <v>18</v>
      </c>
      <c r="I277" s="21" t="str">
        <f>IFERROR(__xludf.DUMMYFUNCTION("""COMPUTED_VALUE"""),"English, German")</f>
        <v>English, German</v>
      </c>
      <c r="J277" s="21" t="str">
        <f>IFERROR(__xludf.DUMMYFUNCTION("""COMPUTED_VALUE"""),"English")</f>
        <v>English</v>
      </c>
      <c r="K277" s="22">
        <f>IFERROR(__xludf.DUMMYFUNCTION("""COMPUTED_VALUE"""),44818.0)</f>
        <v>44818</v>
      </c>
      <c r="L277" s="23" t="str">
        <f>IFERROR(__xludf.DUMMYFUNCTION("""COMPUTED_VALUE"""),"https://masterplan.com/courses/elon-musk-wie-sieht-unsere-zukunft-aus")</f>
        <v>https://masterplan.com/courses/elon-musk-wie-sieht-unsere-zukunft-aus</v>
      </c>
    </row>
    <row r="278">
      <c r="A278" s="6" t="str">
        <f>IFERROR(__xludf.DUMMYFUNCTION("""COMPUTED_VALUE"""),"Mit HR zum Erfolg: 14 Best Practices, die den Grundstein legen")</f>
        <v>Mit HR zum Erfolg: 14 Best Practices, die den Grundstein legen</v>
      </c>
      <c r="B278" s="7" t="str">
        <f>IFERROR(__xludf.DUMMYFUNCTION("""COMPUTED_VALUE"""),"14 Exclusive Tips: Best Practices &amp; Cornerstones of HR")</f>
        <v>14 Exclusive Tips: Best Practices &amp; Cornerstones of HR</v>
      </c>
      <c r="C278" s="8" t="str">
        <f>IFERROR(__xludf.DUMMYFUNCTION("""COMPUTED_VALUE"""),"Leute mit Mehrwert einzustellen ist eine der wichtigsten Aufgaben von HR. Woran erkennt man, dass jemand gut ins Unternehmen passt? Recruitment, Leistungsmanagement, Nachfolgeplanung und Schaffung flexibler Arbeitsmöglichkeiten – Personalmanagement hat vi"&amp;"el zu bieten!")</f>
        <v>Leute mit Mehrwert einzustellen ist eine der wichtigsten Aufgaben von HR. Woran erkennt man, dass jemand gut ins Unternehmen passt? Recruitment, Leistungsmanagement, Nachfolgeplanung und Schaffung flexibler Arbeitsmöglichkeiten – Personalmanagement hat viel zu bieten!</v>
      </c>
      <c r="D278" s="8" t="str">
        <f>IFERROR(__xludf.DUMMYFUNCTION("""COMPUTED_VALUE"""),"Hiring employees who add value is one HR's most important responsibilities. How can you tell someone is a good fit? Recruitment, performance management, succession planning and creating flexible work opportunities – human ressource management has a lot to"&amp;" offer!")</f>
        <v>Hiring employees who add value is one HR's most important responsibilities. How can you tell someone is a good fit? Recruitment, performance management, succession planning and creating flexible work opportunities – human ressource management has a lot to offer!</v>
      </c>
      <c r="E278" s="9" t="str">
        <f>IFERROR(__xludf.DUMMYFUNCTION("""COMPUTED_VALUE"""),"Global Citizenship")</f>
        <v>Global Citizenship</v>
      </c>
      <c r="F278" s="10" t="str">
        <f>IFERROR(__xludf.DUMMYFUNCTION("""COMPUTED_VALUE"""),"AIHR - Academy to Innovate HR")</f>
        <v>AIHR - Academy to Innovate HR</v>
      </c>
      <c r="G278" s="11">
        <f>IFERROR(__xludf.DUMMYFUNCTION("""COMPUTED_VALUE"""),21.0)</f>
        <v>21</v>
      </c>
      <c r="H278" s="11">
        <f>IFERROR(__xludf.DUMMYFUNCTION("""COMPUTED_VALUE"""),7.0)</f>
        <v>7</v>
      </c>
      <c r="I278" s="12" t="str">
        <f>IFERROR(__xludf.DUMMYFUNCTION("""COMPUTED_VALUE"""),"English, German")</f>
        <v>English, German</v>
      </c>
      <c r="J278" s="12" t="str">
        <f>IFERROR(__xludf.DUMMYFUNCTION("""COMPUTED_VALUE"""),"English")</f>
        <v>English</v>
      </c>
      <c r="K278" s="13">
        <f>IFERROR(__xludf.DUMMYFUNCTION("""COMPUTED_VALUE"""),44818.0)</f>
        <v>44818</v>
      </c>
      <c r="L278" s="14" t="str">
        <f>IFERROR(__xludf.DUMMYFUNCTION("""COMPUTED_VALUE"""),"https://masterplan.com/courses/mit-hr-zum-erfolg-14-best-practices-die-den-grundstein-legen")</f>
        <v>https://masterplan.com/courses/mit-hr-zum-erfolg-14-best-practices-die-den-grundstein-legen</v>
      </c>
    </row>
    <row r="279">
      <c r="A279" s="15" t="str">
        <f>IFERROR(__xludf.DUMMYFUNCTION("""COMPUTED_VALUE"""),"Neuigkeiten in KI &amp; Tech September I")</f>
        <v>Neuigkeiten in KI &amp; Tech September I</v>
      </c>
      <c r="B279" s="16" t="str">
        <f>IFERROR(__xludf.DUMMYFUNCTION("""COMPUTED_VALUE"""),"News in AI &amp; Tech September I")</f>
        <v>News in AI &amp; Tech September I</v>
      </c>
      <c r="C279" s="17" t="str">
        <f>IFERROR(__xludf.DUMMYFUNCTION("""COMPUTED_VALUE"""),"Apple hat neue Produkte mit vielen KI-Funktionen veröffentlicht, KI hat einen Kunstwettbewerb gewonnen und Googles Algorithmus-Update - das sind die Themen von Gianluca's erstem Update im September.")</f>
        <v>Apple hat neue Produkte mit vielen KI-Funktionen veröffentlicht, KI hat einen Kunstwettbewerb gewonnen und Googles Algorithmus-Update - das sind die Themen von Gianluca's erstem Update im September.</v>
      </c>
      <c r="D279" s="17" t="str">
        <f>IFERROR(__xludf.DUMMYFUNCTION("""COMPUTED_VALUE"""),"Apple launched new products with lots of AI features, AI won an art competition and Google’s algorithm update - these are the topics of Gianluca’s first update in September.")</f>
        <v>Apple launched new products with lots of AI features, AI won an art competition and Google’s algorithm update - these are the topics of Gianluca’s first update in September.</v>
      </c>
      <c r="E279" s="25" t="str">
        <f>IFERROR(__xludf.DUMMYFUNCTION("""COMPUTED_VALUE"""),"Digital Literacy")</f>
        <v>Digital Literacy</v>
      </c>
      <c r="F279" s="19" t="str">
        <f>IFERROR(__xludf.DUMMYFUNCTION("""COMPUTED_VALUE"""),"AI Academy - Gianluca Mauro")</f>
        <v>AI Academy - Gianluca Mauro</v>
      </c>
      <c r="G279" s="20">
        <f>IFERROR(__xludf.DUMMYFUNCTION("""COMPUTED_VALUE"""),15.0)</f>
        <v>15</v>
      </c>
      <c r="H279" s="20">
        <f>IFERROR(__xludf.DUMMYFUNCTION("""COMPUTED_VALUE"""),1.0)</f>
        <v>1</v>
      </c>
      <c r="I279" s="21" t="str">
        <f>IFERROR(__xludf.DUMMYFUNCTION("""COMPUTED_VALUE"""),"English, German")</f>
        <v>English, German</v>
      </c>
      <c r="J279" s="21" t="str">
        <f>IFERROR(__xludf.DUMMYFUNCTION("""COMPUTED_VALUE"""),"English")</f>
        <v>English</v>
      </c>
      <c r="K279" s="22">
        <f>IFERROR(__xludf.DUMMYFUNCTION("""COMPUTED_VALUE"""),44813.0)</f>
        <v>44813</v>
      </c>
      <c r="L279" s="23" t="str">
        <f>IFERROR(__xludf.DUMMYFUNCTION("""COMPUTED_VALUE"""),"https://masterplan.com/courses/tech-updates-september-i")</f>
        <v>https://masterplan.com/courses/tech-updates-september-i</v>
      </c>
    </row>
    <row r="280">
      <c r="A280" s="6" t="str">
        <f>IFERROR(__xludf.DUMMYFUNCTION("""COMPUTED_VALUE"""),"[OFFLINE] Warum du denkst, keine Zeit zu haben &amp; wie sich das ändern lässt")</f>
        <v>[OFFLINE] Warum du denkst, keine Zeit zu haben &amp; wie sich das ändern lässt</v>
      </c>
      <c r="B280" s="7" t="str">
        <f>IFERROR(__xludf.DUMMYFUNCTION("""COMPUTED_VALUE"""),"[OFFLINE] The Real Reason You Feel So Busy – and What to Do About It")</f>
        <v>[OFFLINE] The Real Reason You Feel So Busy – and What to Do About It</v>
      </c>
      <c r="C280" s="8" t="str">
        <f>IFERROR(__xludf.DUMMYFUNCTION("""COMPUTED_VALUE"""),"Wir haben alle das Gefühl, unter Zeitdruck zu stehen - aber das ist auch eine Entscheidung. Dorie Clark nennt drei Gründe, warum Menschen ständig das Gefühl haben, zu beschäftigt zu sein, und lädt ein, zu hinterfragen, was einen wirklich motiviert.")</f>
        <v>Wir haben alle das Gefühl, unter Zeitdruck zu stehen - aber das ist auch eine Entscheidung. Dorie Clark nennt drei Gründe, warum Menschen ständig das Gefühl haben, zu beschäftigt zu sein, und lädt ein, zu hinterfragen, was einen wirklich motiviert.</v>
      </c>
      <c r="D280" s="8" t="str">
        <f>IFERROR(__xludf.DUMMYFUNCTION("""COMPUTED_VALUE"""),"These days, we all feel pressured for time– but being busy is a choice. Dorie Clark shares three hidden reasons people fall into an endless loop of feeling constantly busy, and invites you to question what really motivates how you spend your time.")</f>
        <v>These days, we all feel pressured for time– but being busy is a choice. Dorie Clark shares three hidden reasons people fall into an endless loop of feeling constantly busy, and invites you to question what really motivates how you spend your time.</v>
      </c>
      <c r="E280" s="24" t="str">
        <f>IFERROR(__xludf.DUMMYFUNCTION("""COMPUTED_VALUE"""),"Emotional Intelligence")</f>
        <v>Emotional Intelligence</v>
      </c>
      <c r="F280" s="10" t="str">
        <f>IFERROR(__xludf.DUMMYFUNCTION("""COMPUTED_VALUE"""),"TED")</f>
        <v>TED</v>
      </c>
      <c r="G280" s="11">
        <f>IFERROR(__xludf.DUMMYFUNCTION("""COMPUTED_VALUE"""),8.0)</f>
        <v>8</v>
      </c>
      <c r="H280" s="11">
        <f>IFERROR(__xludf.DUMMYFUNCTION("""COMPUTED_VALUE"""),3.0)</f>
        <v>3</v>
      </c>
      <c r="I280" s="12" t="str">
        <f>IFERROR(__xludf.DUMMYFUNCTION("""COMPUTED_VALUE"""),"English, German")</f>
        <v>English, German</v>
      </c>
      <c r="J280" s="12" t="str">
        <f>IFERROR(__xludf.DUMMYFUNCTION("""COMPUTED_VALUE"""),"English")</f>
        <v>English</v>
      </c>
      <c r="K280" s="13">
        <f>IFERROR(__xludf.DUMMYFUNCTION("""COMPUTED_VALUE"""),44811.0)</f>
        <v>44811</v>
      </c>
      <c r="L280" s="14" t="str">
        <f>IFERROR(__xludf.DUMMYFUNCTION("""COMPUTED_VALUE"""),"https://masterplan.com/courses/warum-du-denkst-keine-zeit-zu-haben-und-wie-sich-das-aendern-laesst")</f>
        <v>https://masterplan.com/courses/warum-du-denkst-keine-zeit-zu-haben-und-wie-sich-das-aendern-laesst</v>
      </c>
    </row>
    <row r="281">
      <c r="A281" s="15" t="str">
        <f>IFERROR(__xludf.DUMMYFUNCTION("""COMPUTED_VALUE"""),"Inklusives Design hilft uns allen")</f>
        <v>Inklusives Design hilft uns allen</v>
      </c>
      <c r="B281" s="16" t="str">
        <f>IFERROR(__xludf.DUMMYFUNCTION("""COMPUTED_VALUE"""),"When We Design for Disability, We All Benefit")</f>
        <v>When We Design for Disability, We All Benefit</v>
      </c>
      <c r="C281" s="17" t="str">
        <f>IFERROR(__xludf.DUMMYFUNCTION("""COMPUTED_VALUE"""),"Was führt zu brillanten Lösungen? Elise Roy hat die Antwort: ""Wenn wir zuerst für Menschen mit Behinderung entwerfen, stolpert man oft über Lösungen, die besser sind, als wenn wir für die Norm entwerfen."" Drück auf Play und hör dir ihren inspirierenden "&amp;"TED-Vortrag an.")</f>
        <v>Was führt zu brillanten Lösungen? Elise Roy hat die Antwort: "Wenn wir zuerst für Menschen mit Behinderung entwerfen, stolpert man oft über Lösungen, die besser sind, als wenn wir für die Norm entwerfen." Drück auf Play und hör dir ihren inspirierenden TED-Vortrag an.</v>
      </c>
      <c r="D281" s="17" t="str">
        <f>IFERROR(__xludf.DUMMYFUNCTION("""COMPUTED_VALUE"""),"What leads to brilliant solutions? Elise Roy has the answer: “When we design for disability first, you often stumble upon solutions that are better than those when we design for the norm."" Press play and listen to her inspiring TED talk.")</f>
        <v>What leads to brilliant solutions? Elise Roy has the answer: “When we design for disability first, you often stumble upon solutions that are better than those when we design for the norm." Press play and listen to her inspiring TED talk.</v>
      </c>
      <c r="E281" s="18" t="str">
        <f>IFERROR(__xludf.DUMMYFUNCTION("""COMPUTED_VALUE"""),"Creativity and Innovation")</f>
        <v>Creativity and Innovation</v>
      </c>
      <c r="F281" s="19" t="str">
        <f>IFERROR(__xludf.DUMMYFUNCTION("""COMPUTED_VALUE"""),"TED")</f>
        <v>TED</v>
      </c>
      <c r="G281" s="20">
        <f>IFERROR(__xludf.DUMMYFUNCTION("""COMPUTED_VALUE"""),11.0)</f>
        <v>11</v>
      </c>
      <c r="H281" s="20">
        <f>IFERROR(__xludf.DUMMYFUNCTION("""COMPUTED_VALUE"""),3.0)</f>
        <v>3</v>
      </c>
      <c r="I281" s="21" t="str">
        <f>IFERROR(__xludf.DUMMYFUNCTION("""COMPUTED_VALUE"""),"English, German")</f>
        <v>English, German</v>
      </c>
      <c r="J281" s="21" t="str">
        <f>IFERROR(__xludf.DUMMYFUNCTION("""COMPUTED_VALUE"""),"English")</f>
        <v>English</v>
      </c>
      <c r="K281" s="22">
        <f>IFERROR(__xludf.DUMMYFUNCTION("""COMPUTED_VALUE"""),44811.0)</f>
        <v>44811</v>
      </c>
      <c r="L281" s="23" t="str">
        <f>IFERROR(__xludf.DUMMYFUNCTION("""COMPUTED_VALUE"""),"https://masterplan.com/courses/inklusives-design-hilft-uns-allen")</f>
        <v>https://masterplan.com/courses/inklusives-design-hilft-uns-allen</v>
      </c>
    </row>
    <row r="282">
      <c r="A282" s="6" t="str">
        <f>IFERROR(__xludf.DUMMYFUNCTION("""COMPUTED_VALUE"""),"[OFFLINE] Die Zukunft beginnt heute: Potenziale von Deep Tech")</f>
        <v>[OFFLINE] Die Zukunft beginnt heute: Potenziale von Deep Tech</v>
      </c>
      <c r="B282" s="7" t="str">
        <f>IFERROR(__xludf.DUMMYFUNCTION("""COMPUTED_VALUE"""),"[OFFLINE] What Is Deep Tech? A Look at How It Could Shape the Future")</f>
        <v>[OFFLINE] What Is Deep Tech? A Look at How It Could Shape the Future</v>
      </c>
      <c r="C282" s="8" t="str">
        <f>IFERROR(__xludf.DUMMYFUNCTION("""COMPUTED_VALUE"""),"Wie können Unternehmen jahrelange Probleme lösen? Das Geheimnis liegt in der Kombination von Wissenschaft, Technik und Design Thinking, kurz: Deep Tech. Doch was ist Deep Tech und wie wird unsere Zukunft aussehen? Erfahre es in diesem TED-Talk!")</f>
        <v>Wie können Unternehmen jahrelange Probleme lösen? Das Geheimnis liegt in der Kombination von Wissenschaft, Technik und Design Thinking, kurz: Deep Tech. Doch was ist Deep Tech und wie wird unsere Zukunft aussehen? Erfahre es in diesem TED-Talk!</v>
      </c>
      <c r="D282" s="8" t="str">
        <f>IFERROR(__xludf.DUMMYFUNCTION("""COMPUTED_VALUE"""),"How can companies solve problems we've had for years? The secret lies in the combination of science, technology, and design thinking, in short: Deep Tech. But what is Deep Tech and what will our future look like? Find out in this TED Talk!q")</f>
        <v>How can companies solve problems we've had for years? The secret lies in the combination of science, technology, and design thinking, in short: Deep Tech. But what is Deep Tech and what will our future look like? Find out in this TED Talk!q</v>
      </c>
      <c r="E282" s="25" t="str">
        <f>IFERROR(__xludf.DUMMYFUNCTION("""COMPUTED_VALUE"""),"Digital Literacy")</f>
        <v>Digital Literacy</v>
      </c>
      <c r="F282" s="10" t="str">
        <f>IFERROR(__xludf.DUMMYFUNCTION("""COMPUTED_VALUE"""),"TED")</f>
        <v>TED</v>
      </c>
      <c r="G282" s="11">
        <f>IFERROR(__xludf.DUMMYFUNCTION("""COMPUTED_VALUE"""),11.0)</f>
        <v>11</v>
      </c>
      <c r="H282" s="11">
        <f>IFERROR(__xludf.DUMMYFUNCTION("""COMPUTED_VALUE"""),3.0)</f>
        <v>3</v>
      </c>
      <c r="I282" s="12" t="str">
        <f>IFERROR(__xludf.DUMMYFUNCTION("""COMPUTED_VALUE"""),"English, German")</f>
        <v>English, German</v>
      </c>
      <c r="J282" s="12" t="str">
        <f>IFERROR(__xludf.DUMMYFUNCTION("""COMPUTED_VALUE"""),"English")</f>
        <v>English</v>
      </c>
      <c r="K282" s="13">
        <f>IFERROR(__xludf.DUMMYFUNCTION("""COMPUTED_VALUE"""),44811.0)</f>
        <v>44811</v>
      </c>
      <c r="L282" s="14" t="str">
        <f>IFERROR(__xludf.DUMMYFUNCTION("""COMPUTED_VALUE"""),"https://masterplan.com/courses/die-zukunft-beginnt-heute-potenziale-von-deep-tech")</f>
        <v>https://masterplan.com/courses/die-zukunft-beginnt-heute-potenziale-von-deep-tech</v>
      </c>
    </row>
    <row r="283">
      <c r="A283" s="15" t="str">
        <f>IFERROR(__xludf.DUMMYFUNCTION("""COMPUTED_VALUE"""),"Das Rätsel der Motivation")</f>
        <v>Das Rätsel der Motivation</v>
      </c>
      <c r="B283" s="16" t="str">
        <f>IFERROR(__xludf.DUMMYFUNCTION("""COMPUTED_VALUE"""),"The Puzzle of Motivation")</f>
        <v>The Puzzle of Motivation</v>
      </c>
      <c r="C283" s="17" t="str">
        <f>IFERROR(__xludf.DUMMYFUNCTION("""COMPUTED_VALUE"""),"Wikipedia macht es uns vor: Intrinsische Motivation befähigt zu Großem. Warum aber glauben viele Unternehmen, dass Mitarbeitende nur mit Aussicht auf eine Belohnung Bestleistungen erbringen? Lass uns mit diesem Klischee aufräumen!")</f>
        <v>Wikipedia macht es uns vor: Intrinsische Motivation befähigt zu Großem. Warum aber glauben viele Unternehmen, dass Mitarbeitende nur mit Aussicht auf eine Belohnung Bestleistungen erbringen? Lass uns mit diesem Klischee aufräumen!</v>
      </c>
      <c r="D283" s="17" t="str">
        <f>IFERROR(__xludf.DUMMYFUNCTION("""COMPUTED_VALUE"""),"Wikipedia shows us how it's done: Intrinsic motivation enables great things. But why do many companies believe that employees only perform at their best with the prospect of a reward? Let's dispel this cliché!")</f>
        <v>Wikipedia shows us how it's done: Intrinsic motivation enables great things. But why do many companies believe that employees only perform at their best with the prospect of a reward? Let's dispel this cliché!</v>
      </c>
      <c r="E283" s="26" t="str">
        <f>IFERROR(__xludf.DUMMYFUNCTION("""COMPUTED_VALUE"""),"Collaboration and Leadership")</f>
        <v>Collaboration and Leadership</v>
      </c>
      <c r="F283" s="19" t="str">
        <f>IFERROR(__xludf.DUMMYFUNCTION("""COMPUTED_VALUE"""),"TED")</f>
        <v>TED</v>
      </c>
      <c r="G283" s="20">
        <f>IFERROR(__xludf.DUMMYFUNCTION("""COMPUTED_VALUE"""),18.0)</f>
        <v>18</v>
      </c>
      <c r="H283" s="20">
        <f>IFERROR(__xludf.DUMMYFUNCTION("""COMPUTED_VALUE"""),3.0)</f>
        <v>3</v>
      </c>
      <c r="I283" s="21" t="str">
        <f>IFERROR(__xludf.DUMMYFUNCTION("""COMPUTED_VALUE"""),"English, German")</f>
        <v>English, German</v>
      </c>
      <c r="J283" s="21" t="str">
        <f>IFERROR(__xludf.DUMMYFUNCTION("""COMPUTED_VALUE"""),"English")</f>
        <v>English</v>
      </c>
      <c r="K283" s="22">
        <f>IFERROR(__xludf.DUMMYFUNCTION("""COMPUTED_VALUE"""),44811.0)</f>
        <v>44811</v>
      </c>
      <c r="L283" s="23" t="str">
        <f>IFERROR(__xludf.DUMMYFUNCTION("""COMPUTED_VALUE"""),"https://masterplan.com/courses/das-raetsel-der-motivation")</f>
        <v>https://masterplan.com/courses/das-raetsel-der-motivation</v>
      </c>
    </row>
    <row r="284">
      <c r="A284" s="6" t="str">
        <f>IFERROR(__xludf.DUMMYFUNCTION("""COMPUTED_VALUE"""),"Agiles Projektmanagement V: Agile Leadership")</f>
        <v>Agiles Projektmanagement V: Agile Leadership</v>
      </c>
      <c r="B284" s="7" t="str">
        <f>IFERROR(__xludf.DUMMYFUNCTION("""COMPUTED_VALUE"""),"Agile Project Management V: Agile Leadership")</f>
        <v>Agile Project Management V: Agile Leadership</v>
      </c>
      <c r="C284" s="8" t="str">
        <f>IFERROR(__xludf.DUMMYFUNCTION("""COMPUTED_VALUE"""),"Agiles Arbeiten verlangt nach ganz besonderen Führungsqualitäten. In diesem Kurs erklärt dir Sohrab von der Agile Academy, wie sich Führungspersönlichkeiten entscheiden und was du tun kannst, um das beste aus agilen Teams herauszuholen. ")</f>
        <v>Agiles Arbeiten verlangt nach ganz besonderen Führungsqualitäten. In diesem Kurs erklärt dir Sohrab von der Agile Academy, wie sich Führungspersönlichkeiten entscheiden und was du tun kannst, um das beste aus agilen Teams herauszuholen. </v>
      </c>
      <c r="D284" s="8" t="str">
        <f>IFERROR(__xludf.DUMMYFUNCTION("""COMPUTED_VALUE"""),"Agile work requires very special leadership skills. In this course, Sohrab from the Agile Academy explains how leaders make decisions and what you can do to get the best out of agile teams.")</f>
        <v>Agile work requires very special leadership skills. In this course, Sohrab from the Agile Academy explains how leaders make decisions and what you can do to get the best out of agile teams.</v>
      </c>
      <c r="E284" s="18" t="str">
        <f>IFERROR(__xludf.DUMMYFUNCTION("""COMPUTED_VALUE"""),"Creativity and Innovation")</f>
        <v>Creativity and Innovation</v>
      </c>
      <c r="F284" s="10" t="str">
        <f>IFERROR(__xludf.DUMMYFUNCTION("""COMPUTED_VALUE"""),"Agile Academy - Sohrab Salimi")</f>
        <v>Agile Academy - Sohrab Salimi</v>
      </c>
      <c r="G284" s="11">
        <f>IFERROR(__xludf.DUMMYFUNCTION("""COMPUTED_VALUE"""),62.0)</f>
        <v>62</v>
      </c>
      <c r="H284" s="11">
        <f>IFERROR(__xludf.DUMMYFUNCTION("""COMPUTED_VALUE"""),17.0)</f>
        <v>17</v>
      </c>
      <c r="I284" s="12" t="str">
        <f>IFERROR(__xludf.DUMMYFUNCTION("""COMPUTED_VALUE"""),"English, German")</f>
        <v>English, German</v>
      </c>
      <c r="J284" s="12" t="str">
        <f>IFERROR(__xludf.DUMMYFUNCTION("""COMPUTED_VALUE"""),"German")</f>
        <v>German</v>
      </c>
      <c r="K284" s="13">
        <f>IFERROR(__xludf.DUMMYFUNCTION("""COMPUTED_VALUE"""),44811.0)</f>
        <v>44811</v>
      </c>
      <c r="L284" s="14" t="str">
        <f>IFERROR(__xludf.DUMMYFUNCTION("""COMPUTED_VALUE"""),"https://masterplan.com/courses/agiles-projektmanagement-v-agile-leadership")</f>
        <v>https://masterplan.com/courses/agiles-projektmanagement-v-agile-leadership</v>
      </c>
    </row>
    <row r="285">
      <c r="A285" s="15" t="str">
        <f>IFERROR(__xludf.DUMMYFUNCTION("""COMPUTED_VALUE"""),"Vorsicht vor ""Filter-Blasen"" im Internet")</f>
        <v>Vorsicht vor "Filter-Blasen" im Internet</v>
      </c>
      <c r="B285" s="16" t="str">
        <f>IFERROR(__xludf.DUMMYFUNCTION("""COMPUTED_VALUE"""),"Beware Online ""Filter Bubbles""")</f>
        <v>Beware Online "Filter Bubbles"</v>
      </c>
      <c r="C285" s="17" t="str">
        <f>IFERROR(__xludf.DUMMYFUNCTION("""COMPUTED_VALUE"""),"""Es wird für die Menschen sehr schwer sein, etwas zu sehen oder zu konsumieren, das nicht in gewisser Weise auf sie zugeschnitten ist."" - Eric Schmidt, Google. Drück auf Play, um der Filterblase zu entkommen, in der du derzeit lebst!")</f>
        <v>"Es wird für die Menschen sehr schwer sein, etwas zu sehen oder zu konsumieren, das nicht in gewisser Weise auf sie zugeschnitten ist." - Eric Schmidt, Google. Drück auf Play, um der Filterblase zu entkommen, in der du derzeit lebst!</v>
      </c>
      <c r="D285" s="17" t="str">
        <f>IFERROR(__xludf.DUMMYFUNCTION("""COMPUTED_VALUE"""),"“It will be very hard for people to watch or consume something that has not in some sense been tailored for them.” – Eric Schmidt, Google. Press play to escape the filter bubble you are currently living in!")</f>
        <v>“It will be very hard for people to watch or consume something that has not in some sense been tailored for them.” – Eric Schmidt, Google. Press play to escape the filter bubble you are currently living in!</v>
      </c>
      <c r="E285" s="29" t="str">
        <f>IFERROR(__xludf.DUMMYFUNCTION("""COMPUTED_VALUE"""),"Thinking and Deciding Clearly")</f>
        <v>Thinking and Deciding Clearly</v>
      </c>
      <c r="F285" s="19" t="str">
        <f>IFERROR(__xludf.DUMMYFUNCTION("""COMPUTED_VALUE"""),"TED")</f>
        <v>TED</v>
      </c>
      <c r="G285" s="20">
        <f>IFERROR(__xludf.DUMMYFUNCTION("""COMPUTED_VALUE"""),9.0)</f>
        <v>9</v>
      </c>
      <c r="H285" s="20">
        <f>IFERROR(__xludf.DUMMYFUNCTION("""COMPUTED_VALUE"""),1.0)</f>
        <v>1</v>
      </c>
      <c r="I285" s="21" t="str">
        <f>IFERROR(__xludf.DUMMYFUNCTION("""COMPUTED_VALUE"""),"English, German")</f>
        <v>English, German</v>
      </c>
      <c r="J285" s="21" t="str">
        <f>IFERROR(__xludf.DUMMYFUNCTION("""COMPUTED_VALUE"""),"English")</f>
        <v>English</v>
      </c>
      <c r="K285" s="22">
        <f>IFERROR(__xludf.DUMMYFUNCTION("""COMPUTED_VALUE"""),44809.0)</f>
        <v>44809</v>
      </c>
      <c r="L285" s="23" t="str">
        <f>IFERROR(__xludf.DUMMYFUNCTION("""COMPUTED_VALUE"""),"https://masterplan.com/courses/vorsicht-vor-filter-blasen-im-internet")</f>
        <v>https://masterplan.com/courses/vorsicht-vor-filter-blasen-im-internet</v>
      </c>
    </row>
    <row r="286">
      <c r="A286" s="6" t="str">
        <f>IFERROR(__xludf.DUMMYFUNCTION("""COMPUTED_VALUE"""),"Meeting Overload - 5 Tipps, die dir wieder Zeit verschaffen")</f>
        <v>Meeting Overload - 5 Tipps, die dir wieder Zeit verschaffen</v>
      </c>
      <c r="B286" s="7" t="str">
        <f>IFERROR(__xludf.DUMMYFUNCTION("""COMPUTED_VALUE"""),"5 Tips for Dealing with Meeting Overload")</f>
        <v>5 Tips for Dealing with Meeting Overload</v>
      </c>
      <c r="C286" s="8" t="str">
        <f>IFERROR(__xludf.DUMMYFUNCTION("""COMPUTED_VALUE"""),"Das Phänomen des ""Calendar Creep"" - bei dem Meetings deine Arbeitstage vollständig in Beschlag nehmen - verschwendet Zeit, Energie und Produktivität. Hier sind fünf einfach umzusetzende Schritte, die deinen Kalender für dich anstatt gegen dich arbeiten "&amp;"lassen!")</f>
        <v>Das Phänomen des "Calendar Creep" - bei dem Meetings deine Arbeitstage vollständig in Beschlag nehmen - verschwendet Zeit, Energie und Produktivität. Hier sind fünf einfach umzusetzende Schritte, die deinen Kalender für dich anstatt gegen dich arbeiten lassen!</v>
      </c>
      <c r="D286" s="8" t="str">
        <f>IFERROR(__xludf.DUMMYFUNCTION("""COMPUTED_VALUE"""),"The phenomenon of ""calendar creep""–where meetings completely take over your work days– wastes time, energy, and productivity. Here are five easy-to-implement steps that can take your calendar from working against you to working for you!")</f>
        <v>The phenomenon of "calendar creep"–where meetings completely take over your work days– wastes time, energy, and productivity. Here are five easy-to-implement steps that can take your calendar from working against you to working for you!</v>
      </c>
      <c r="E286" s="26" t="str">
        <f>IFERROR(__xludf.DUMMYFUNCTION("""COMPUTED_VALUE"""),"Collaboration and Leadership")</f>
        <v>Collaboration and Leadership</v>
      </c>
      <c r="F286" s="10" t="str">
        <f>IFERROR(__xludf.DUMMYFUNCTION("""COMPUTED_VALUE"""),"TED")</f>
        <v>TED</v>
      </c>
      <c r="G286" s="11">
        <f>IFERROR(__xludf.DUMMYFUNCTION("""COMPUTED_VALUE"""),5.0)</f>
        <v>5</v>
      </c>
      <c r="H286" s="11">
        <f>IFERROR(__xludf.DUMMYFUNCTION("""COMPUTED_VALUE"""),3.0)</f>
        <v>3</v>
      </c>
      <c r="I286" s="12" t="str">
        <f>IFERROR(__xludf.DUMMYFUNCTION("""COMPUTED_VALUE"""),"English, German")</f>
        <v>English, German</v>
      </c>
      <c r="J286" s="12" t="str">
        <f>IFERROR(__xludf.DUMMYFUNCTION("""COMPUTED_VALUE"""),"English")</f>
        <v>English</v>
      </c>
      <c r="K286" s="13">
        <f>IFERROR(__xludf.DUMMYFUNCTION("""COMPUTED_VALUE"""),44809.0)</f>
        <v>44809</v>
      </c>
      <c r="L286" s="14" t="str">
        <f>IFERROR(__xludf.DUMMYFUNCTION("""COMPUTED_VALUE"""),"https://masterplan.com/courses/meeting-overload-5-tipps-die-dir-wieder-zeit-verschaffen")</f>
        <v>https://masterplan.com/courses/meeting-overload-5-tipps-die-dir-wieder-zeit-verschaffen</v>
      </c>
    </row>
    <row r="287">
      <c r="A287" s="15" t="str">
        <f>IFERROR(__xludf.DUMMYFUNCTION("""COMPUTED_VALUE"""),"Wie man in Krisen führt")</f>
        <v>Wie man in Krisen führt</v>
      </c>
      <c r="B287" s="16" t="str">
        <f>IFERROR(__xludf.DUMMYFUNCTION("""COMPUTED_VALUE"""),"How to Lead in a Crisis")</f>
        <v>How to Lead in a Crisis</v>
      </c>
      <c r="C287" s="17" t="str">
        <f>IFERROR(__xludf.DUMMYFUNCTION("""COMPUTED_VALUE"""),"Wir alle haben erlebt, wie eine Krise alles zunichte machen kann, was wir zu wissen glaubten - deshalb ist deine Rolle als Führungskraft umso wichtiger. Hier ist ein Aktionsplan: Sei transparent, handel mit Dringlichkeit, folge deinen Werten, und teile di"&amp;"e Macht!")</f>
        <v>Wir alle haben erlebt, wie eine Krise alles zunichte machen kann, was wir zu wissen glaubten - deshalb ist deine Rolle als Führungskraft umso wichtiger. Hier ist ein Aktionsplan: Sei transparent, handel mit Dringlichkeit, folge deinen Werten, und teile die Macht!</v>
      </c>
      <c r="D287" s="17" t="str">
        <f>IFERROR(__xludf.DUMMYFUNCTION("""COMPUTED_VALUE"""),"We've all seen how a crisis can undo everything we thought we knew– that's why your role as a leader becomes even more crucial. Here’s your action plan: be transparent, act with urgency, follow your values, and share the power!")</f>
        <v>We've all seen how a crisis can undo everything we thought we knew– that's why your role as a leader becomes even more crucial. Here’s your action plan: be transparent, act with urgency, follow your values, and share the power!</v>
      </c>
      <c r="E287" s="26" t="str">
        <f>IFERROR(__xludf.DUMMYFUNCTION("""COMPUTED_VALUE"""),"Collaboration and Leadership")</f>
        <v>Collaboration and Leadership</v>
      </c>
      <c r="F287" s="19" t="str">
        <f>IFERROR(__xludf.DUMMYFUNCTION("""COMPUTED_VALUE"""),"TED")</f>
        <v>TED</v>
      </c>
      <c r="G287" s="20">
        <f>IFERROR(__xludf.DUMMYFUNCTION("""COMPUTED_VALUE"""),5.0)</f>
        <v>5</v>
      </c>
      <c r="H287" s="20">
        <f>IFERROR(__xludf.DUMMYFUNCTION("""COMPUTED_VALUE"""),3.0)</f>
        <v>3</v>
      </c>
      <c r="I287" s="21" t="str">
        <f>IFERROR(__xludf.DUMMYFUNCTION("""COMPUTED_VALUE"""),"English, German")</f>
        <v>English, German</v>
      </c>
      <c r="J287" s="21" t="str">
        <f>IFERROR(__xludf.DUMMYFUNCTION("""COMPUTED_VALUE"""),"English")</f>
        <v>English</v>
      </c>
      <c r="K287" s="22">
        <f>IFERROR(__xludf.DUMMYFUNCTION("""COMPUTED_VALUE"""),44809.0)</f>
        <v>44809</v>
      </c>
      <c r="L287" s="23" t="str">
        <f>IFERROR(__xludf.DUMMYFUNCTION("""COMPUTED_VALUE"""),"https://masterplan.com/courses/wie-man-in-krisen-fuehrt")</f>
        <v>https://masterplan.com/courses/wie-man-in-krisen-fuehrt</v>
      </c>
    </row>
    <row r="288">
      <c r="A288" s="6" t="str">
        <f>IFERROR(__xludf.DUMMYFUNCTION("""COMPUTED_VALUE"""),"Mit Gefühl: Emotionen am Arbeitsplatz zulassen")</f>
        <v>Mit Gefühl: Emotionen am Arbeitsplatz zulassen</v>
      </c>
      <c r="B288" s="7" t="str">
        <f>IFERROR(__xludf.DUMMYFUNCTION("""COMPUTED_VALUE"""),"How to Embrace Emotions at Work")</f>
        <v>How to Embrace Emotions at Work</v>
      </c>
      <c r="C288" s="8" t="str">
        <f>IFERROR(__xludf.DUMMYFUNCTION("""COMPUTED_VALUE"""),"Emotionen bei der Arbeit zeigen - ein absolutes No-Go? Absolut nicht, aber man sollte sich bewusst sein, dass es auch übermäßiges Teilen von Emotionen gibt, das Vertrauen zerstören kann. Gezielt verletzlich zu sein ist der Schlüssel - erfahre hier mehr!")</f>
        <v>Emotionen bei der Arbeit zeigen - ein absolutes No-Go? Absolut nicht, aber man sollte sich bewusst sein, dass es auch übermäßiges Teilen von Emotionen gibt, das Vertrauen zerstören kann. Gezielt verletzlich zu sein ist der Schlüssel - erfahre hier mehr!</v>
      </c>
      <c r="D288" s="8" t="str">
        <f>IFERROR(__xludf.DUMMYFUNCTION("""COMPUTED_VALUE"""),"Showing emotions at work – an absolute no-go? Absolutely not, but be aware: a line exists between sharing which builds trust and oversharing which destroys it. Being selectively vulnerable is key – let’s find out more!")</f>
        <v>Showing emotions at work – an absolute no-go? Absolutely not, but be aware: a line exists between sharing which builds trust and oversharing which destroys it. Being selectively vulnerable is key – let’s find out more!</v>
      </c>
      <c r="E288" s="26" t="str">
        <f>IFERROR(__xludf.DUMMYFUNCTION("""COMPUTED_VALUE"""),"Collaboration and Leadership")</f>
        <v>Collaboration and Leadership</v>
      </c>
      <c r="F288" s="10" t="str">
        <f>IFERROR(__xludf.DUMMYFUNCTION("""COMPUTED_VALUE"""),"TED")</f>
        <v>TED</v>
      </c>
      <c r="G288" s="11">
        <f>IFERROR(__xludf.DUMMYFUNCTION("""COMPUTED_VALUE"""),4.0)</f>
        <v>4</v>
      </c>
      <c r="H288" s="11">
        <f>IFERROR(__xludf.DUMMYFUNCTION("""COMPUTED_VALUE"""),3.0)</f>
        <v>3</v>
      </c>
      <c r="I288" s="12" t="str">
        <f>IFERROR(__xludf.DUMMYFUNCTION("""COMPUTED_VALUE"""),"English, German")</f>
        <v>English, German</v>
      </c>
      <c r="J288" s="12" t="str">
        <f>IFERROR(__xludf.DUMMYFUNCTION("""COMPUTED_VALUE"""),"English")</f>
        <v>English</v>
      </c>
      <c r="K288" s="13">
        <f>IFERROR(__xludf.DUMMYFUNCTION("""COMPUTED_VALUE"""),44809.0)</f>
        <v>44809</v>
      </c>
      <c r="L288" s="14" t="str">
        <f>IFERROR(__xludf.DUMMYFUNCTION("""COMPUTED_VALUE"""),"https://masterplan.com/courses/mit-gefuehl-emotionen-am-arbeitsplatz-zulassen")</f>
        <v>https://masterplan.com/courses/mit-gefuehl-emotionen-am-arbeitsplatz-zulassen</v>
      </c>
    </row>
    <row r="289">
      <c r="A289" s="15" t="str">
        <f>IFERROR(__xludf.DUMMYFUNCTION("""COMPUTED_VALUE"""),"Wie du dein Selbstvertrauen weckst – und andere damit ansteckst!")</f>
        <v>Wie du dein Selbstvertrauen weckst – und andere damit ansteckst!</v>
      </c>
      <c r="B289" s="16" t="str">
        <f>IFERROR(__xludf.DUMMYFUNCTION("""COMPUTED_VALUE"""),"How to Build Your Confidence - and Spark It in Others")</f>
        <v>How to Build Your Confidence - and Spark It in Others</v>
      </c>
      <c r="C289" s="17" t="str">
        <f>IFERROR(__xludf.DUMMYFUNCTION("""COMPUTED_VALUE"""),"Ohne Selbstvertrauen bleiben wir stecken. Laut Brittany Packnett Cunningham sind Erlaubnis, Gemeinschaft und Neugierde die Dinge, die man braucht, um Selbstvertrauen zu entwickeln. Lass deine Träume wahr werden!")</f>
        <v>Ohne Selbstvertrauen bleiben wir stecken. Laut Brittany Packnett Cunningham sind Erlaubnis, Gemeinschaft und Neugierde die Dinge, die man braucht, um Selbstvertrauen zu entwickeln. Lass deine Träume wahr werden!</v>
      </c>
      <c r="D289" s="17" t="str">
        <f>IFERROR(__xludf.DUMMYFUNCTION("""COMPUTED_VALUE"""),"Without confidence we get stuck. And when we get stuck, we can’t even get started. According to Brittany Packnett Cunningham, permission, community, and curiosity are the things you need to breed confidence. Let’s turn your most ambitious dreams into real"&amp;"ity!")</f>
        <v>Without confidence we get stuck. And when we get stuck, we can’t even get started. According to Brittany Packnett Cunningham, permission, community, and curiosity are the things you need to breed confidence. Let’s turn your most ambitious dreams into reality!</v>
      </c>
      <c r="E289" s="24" t="str">
        <f>IFERROR(__xludf.DUMMYFUNCTION("""COMPUTED_VALUE"""),"Emotional Intelligence")</f>
        <v>Emotional Intelligence</v>
      </c>
      <c r="F289" s="19" t="str">
        <f>IFERROR(__xludf.DUMMYFUNCTION("""COMPUTED_VALUE"""),"TED")</f>
        <v>TED</v>
      </c>
      <c r="G289" s="20">
        <f>IFERROR(__xludf.DUMMYFUNCTION("""COMPUTED_VALUE"""),13.0)</f>
        <v>13</v>
      </c>
      <c r="H289" s="20">
        <f>IFERROR(__xludf.DUMMYFUNCTION("""COMPUTED_VALUE"""),3.0)</f>
        <v>3</v>
      </c>
      <c r="I289" s="21" t="str">
        <f>IFERROR(__xludf.DUMMYFUNCTION("""COMPUTED_VALUE"""),"English, German")</f>
        <v>English, German</v>
      </c>
      <c r="J289" s="21" t="str">
        <f>IFERROR(__xludf.DUMMYFUNCTION("""COMPUTED_VALUE"""),"English")</f>
        <v>English</v>
      </c>
      <c r="K289" s="22">
        <f>IFERROR(__xludf.DUMMYFUNCTION("""COMPUTED_VALUE"""),44809.0)</f>
        <v>44809</v>
      </c>
      <c r="L289" s="23" t="str">
        <f>IFERROR(__xludf.DUMMYFUNCTION("""COMPUTED_VALUE"""),"https://masterplan.com/courses/wie-du-dein-selbstvertrauen-weckst-und-andere-damit-ansteckst")</f>
        <v>https://masterplan.com/courses/wie-du-dein-selbstvertrauen-weckst-und-andere-damit-ansteckst</v>
      </c>
    </row>
    <row r="290">
      <c r="A290" s="6" t="str">
        <f>IFERROR(__xludf.DUMMYFUNCTION("""COMPUTED_VALUE"""),"Das Dream Team vom Dienst: Menschen &amp; KI")</f>
        <v>Das Dream Team vom Dienst: Menschen &amp; KI</v>
      </c>
      <c r="B290" s="7" t="str">
        <f>IFERROR(__xludf.DUMMYFUNCTION("""COMPUTED_VALUE"""),"Why People and AI Make Good Business Partners")</f>
        <v>Why People and AI Make Good Business Partners</v>
      </c>
      <c r="C290" s="8" t="str">
        <f>IFERROR(__xludf.DUMMYFUNCTION("""COMPUTED_VALUE"""),"Wusstest du, dass ein Schachspieler mit KI jede Maschine besiegen könnte? Kombiniert man die datengetriebenen Fähigkeiten von KI mit menschlicher Kreativität und Genialität, entstehen großartige Dinge! Aber wie kommen wir erfolgreich zusammen?")</f>
        <v>Wusstest du, dass ein Schachspieler mit KI jede Maschine besiegen könnte? Kombiniert man die datengetriebenen Fähigkeiten von KI mit menschlicher Kreativität und Genialität, entstehen großartige Dinge! Aber wie kommen wir erfolgreich zusammen?</v>
      </c>
      <c r="D290" s="8" t="str">
        <f>IFERROR(__xludf.DUMMYFUNCTION("""COMPUTED_VALUE"""),"Did you know that the combination of the human chess player and AI can beat not only any human, but also any machine? When the data-driven capabilities of AI are combined with human creativity and ingenuity, great things happen! But how do we successfully"&amp;" come together?")</f>
        <v>Did you know that the combination of the human chess player and AI can beat not only any human, but also any machine? When the data-driven capabilities of AI are combined with human creativity and ingenuity, great things happen! But how do we successfully come together?</v>
      </c>
      <c r="E290" s="25" t="str">
        <f>IFERROR(__xludf.DUMMYFUNCTION("""COMPUTED_VALUE"""),"Digital Literacy")</f>
        <v>Digital Literacy</v>
      </c>
      <c r="F290" s="10" t="str">
        <f>IFERROR(__xludf.DUMMYFUNCTION("""COMPUTED_VALUE"""),"TED")</f>
        <v>TED</v>
      </c>
      <c r="G290" s="11">
        <f>IFERROR(__xludf.DUMMYFUNCTION("""COMPUTED_VALUE"""),11.0)</f>
        <v>11</v>
      </c>
      <c r="H290" s="11">
        <f>IFERROR(__xludf.DUMMYFUNCTION("""COMPUTED_VALUE"""),3.0)</f>
        <v>3</v>
      </c>
      <c r="I290" s="12" t="str">
        <f>IFERROR(__xludf.DUMMYFUNCTION("""COMPUTED_VALUE"""),"English, German")</f>
        <v>English, German</v>
      </c>
      <c r="J290" s="12" t="str">
        <f>IFERROR(__xludf.DUMMYFUNCTION("""COMPUTED_VALUE"""),"English")</f>
        <v>English</v>
      </c>
      <c r="K290" s="13">
        <f>IFERROR(__xludf.DUMMYFUNCTION("""COMPUTED_VALUE"""),44809.0)</f>
        <v>44809</v>
      </c>
      <c r="L290" s="14" t="str">
        <f>IFERROR(__xludf.DUMMYFUNCTION("""COMPUTED_VALUE"""),"https://masterplan.com/courses/das-dream-team-vom-dienst-menschen-und-ki")</f>
        <v>https://masterplan.com/courses/das-dream-team-vom-dienst-menschen-und-ki</v>
      </c>
    </row>
    <row r="291">
      <c r="A291" s="15" t="str">
        <f>IFERROR(__xludf.DUMMYFUNCTION("""COMPUTED_VALUE"""),"Achtsamkeit wissenschaftlich erklärt")</f>
        <v>Achtsamkeit wissenschaftlich erklärt</v>
      </c>
      <c r="B291" s="16" t="str">
        <f>IFERROR(__xludf.DUMMYFUNCTION("""COMPUTED_VALUE"""),"How to Tame Your Wandering Mind")</f>
        <v>How to Tame Your Wandering Mind</v>
      </c>
      <c r="C291" s="17" t="str">
        <f>IFERROR(__xludf.DUMMYFUNCTION("""COMPUTED_VALUE"""),"Bist du aufmerksam? So wirklich aufmerksam? Laut Neurowissenschaftlerin Amishi Jha beeinflussen Stress und abschweifende Gedanken unsere Aufmerksamkeit. Warum Achtsamkeit mehr als ein Marketingbuzzword ist, zeigt dir dieser spannende TED-Talk!")</f>
        <v>Bist du aufmerksam? So wirklich aufmerksam? Laut Neurowissenschaftlerin Amishi Jha beeinflussen Stress und abschweifende Gedanken unsere Aufmerksamkeit. Warum Achtsamkeit mehr als ein Marketingbuzzword ist, zeigt dir dieser spannende TED-Talk!</v>
      </c>
      <c r="D291" s="17" t="str">
        <f>IFERROR(__xludf.DUMMYFUNCTION("""COMPUTED_VALUE"""),"Are you attentive? Really attentive? According to neuroscientist Amishi Jha, stress and distracting thoughts affect our attention. This exciting TED Talk shows you why mindfulness is more than just a marketing buzzword!")</f>
        <v>Are you attentive? Really attentive? According to neuroscientist Amishi Jha, stress and distracting thoughts affect our attention. This exciting TED Talk shows you why mindfulness is more than just a marketing buzzword!</v>
      </c>
      <c r="E291" s="24" t="str">
        <f>IFERROR(__xludf.DUMMYFUNCTION("""COMPUTED_VALUE"""),"Emotional Intelligence")</f>
        <v>Emotional Intelligence</v>
      </c>
      <c r="F291" s="19" t="str">
        <f>IFERROR(__xludf.DUMMYFUNCTION("""COMPUTED_VALUE"""),"TED")</f>
        <v>TED</v>
      </c>
      <c r="G291" s="20">
        <f>IFERROR(__xludf.DUMMYFUNCTION("""COMPUTED_VALUE"""),18.0)</f>
        <v>18</v>
      </c>
      <c r="H291" s="20">
        <f>IFERROR(__xludf.DUMMYFUNCTION("""COMPUTED_VALUE"""),3.0)</f>
        <v>3</v>
      </c>
      <c r="I291" s="21" t="str">
        <f>IFERROR(__xludf.DUMMYFUNCTION("""COMPUTED_VALUE"""),"English, German")</f>
        <v>English, German</v>
      </c>
      <c r="J291" s="21" t="str">
        <f>IFERROR(__xludf.DUMMYFUNCTION("""COMPUTED_VALUE"""),"English")</f>
        <v>English</v>
      </c>
      <c r="K291" s="22">
        <f>IFERROR(__xludf.DUMMYFUNCTION("""COMPUTED_VALUE"""),44809.0)</f>
        <v>44809</v>
      </c>
      <c r="L291" s="23" t="str">
        <f>IFERROR(__xludf.DUMMYFUNCTION("""COMPUTED_VALUE"""),"https://masterplan.com/courses/achtsamkeit-wissenschaftlich-erklaert")</f>
        <v>https://masterplan.com/courses/achtsamkeit-wissenschaftlich-erklaert</v>
      </c>
    </row>
    <row r="292">
      <c r="A292" s="6" t="str">
        <f>IFERROR(__xludf.DUMMYFUNCTION("""COMPUTED_VALUE"""),"Gute Daten, schlechte Daten: So entstehen KI-Biases")</f>
        <v>Gute Daten, schlechte Daten: So entstehen KI-Biases</v>
      </c>
      <c r="B292" s="7" t="str">
        <f>IFERROR(__xludf.DUMMYFUNCTION("""COMPUTED_VALUE"""),"How Bad Data Keeps Us From Good AI")</f>
        <v>How Bad Data Keeps Us From Good AI</v>
      </c>
      <c r="C292" s="8" t="str">
        <f>IFERROR(__xludf.DUMMYFUNCTION("""COMPUTED_VALUE"""),"Eine gute KI braucht was? Genau, aussagekräftige Daten. Aber was ist, wenn KI-Algorithmen mit “verzerrten” Daten arbeiten? In diesem TED-Talk erfährst du die Gefahren von KI-Biases und was nötig ist, um diese in Zukunft zu vermeiden!")</f>
        <v>Eine gute KI braucht was? Genau, aussagekräftige Daten. Aber was ist, wenn KI-Algorithmen mit “verzerrten” Daten arbeiten? In diesem TED-Talk erfährst du die Gefahren von KI-Biases und was nötig ist, um diese in Zukunft zu vermeiden!</v>
      </c>
      <c r="D292" s="8" t="str">
        <f>IFERROR(__xludf.DUMMYFUNCTION("""COMPUTED_VALUE"""),"Good AI needs what? That's right, meaningful data. But what if AI algorithms are working with ""biased"" data? In this TED Talk, you'll learn about the dangers of AI biases and what it takes to avoid them in the future!")</f>
        <v>Good AI needs what? That's right, meaningful data. But what if AI algorithms are working with "biased" data? In this TED Talk, you'll learn about the dangers of AI biases and what it takes to avoid them in the future!</v>
      </c>
      <c r="E292" s="25" t="str">
        <f>IFERROR(__xludf.DUMMYFUNCTION("""COMPUTED_VALUE"""),"Digital Literacy")</f>
        <v>Digital Literacy</v>
      </c>
      <c r="F292" s="10" t="str">
        <f>IFERROR(__xludf.DUMMYFUNCTION("""COMPUTED_VALUE"""),"TED")</f>
        <v>TED</v>
      </c>
      <c r="G292" s="11">
        <f>IFERROR(__xludf.DUMMYFUNCTION("""COMPUTED_VALUE"""),10.0)</f>
        <v>10</v>
      </c>
      <c r="H292" s="11">
        <f>IFERROR(__xludf.DUMMYFUNCTION("""COMPUTED_VALUE"""),3.0)</f>
        <v>3</v>
      </c>
      <c r="I292" s="12" t="str">
        <f>IFERROR(__xludf.DUMMYFUNCTION("""COMPUTED_VALUE"""),"English, German")</f>
        <v>English, German</v>
      </c>
      <c r="J292" s="12" t="str">
        <f>IFERROR(__xludf.DUMMYFUNCTION("""COMPUTED_VALUE"""),"English")</f>
        <v>English</v>
      </c>
      <c r="K292" s="13">
        <f>IFERROR(__xludf.DUMMYFUNCTION("""COMPUTED_VALUE"""),44809.0)</f>
        <v>44809</v>
      </c>
      <c r="L292" s="14" t="str">
        <f>IFERROR(__xludf.DUMMYFUNCTION("""COMPUTED_VALUE"""),"https://masterplan.com/courses/gute-daten-schlechte-daten-so-entstehen-ki-biases")</f>
        <v>https://masterplan.com/courses/gute-daten-schlechte-daten-so-entstehen-ki-biases</v>
      </c>
    </row>
    <row r="293">
      <c r="A293" s="15" t="str">
        <f>IFERROR(__xludf.DUMMYFUNCTION("""COMPUTED_VALUE"""),"Agiles Projektmanagement III: Scrum")</f>
        <v>Agiles Projektmanagement III: Scrum</v>
      </c>
      <c r="B293" s="16" t="str">
        <f>IFERROR(__xludf.DUMMYFUNCTION("""COMPUTED_VALUE"""),"Agile Project Management III: Scrum  ")</f>
        <v>Agile Project Management III: Scrum  </v>
      </c>
      <c r="C293" s="17" t="str">
        <f>IFERROR(__xludf.DUMMYFUNCTION("""COMPUTED_VALUE"""),"Im dritten Teil unserer Reihe zu agilem Management steigen wir tief in die Scrum-Methodik ein. Wenn du bereits mit agilen Prinzipien bekannt bist und lernen willst, wie du ein agiles Team managst, bzw. als Scrum Master betreust, ist dieser Kurs genau rich"&amp;"tig für dich!")</f>
        <v>Im dritten Teil unserer Reihe zu agilem Management steigen wir tief in die Scrum-Methodik ein. Wenn du bereits mit agilen Prinzipien bekannt bist und lernen willst, wie du ein agiles Team managst, bzw. als Scrum Master betreust, ist dieser Kurs genau richtig für dich!</v>
      </c>
      <c r="D293" s="17" t="str">
        <f>IFERROR(__xludf.DUMMYFUNCTION("""COMPUTED_VALUE"""),"In the third part of our series on agile management, we dive deep into the Scrum methodology. If you are already familiar with agile principles and want to learn how to manage an agile team as a Scrum Master, this course is for you!")</f>
        <v>In the third part of our series on agile management, we dive deep into the Scrum methodology. If you are already familiar with agile principles and want to learn how to manage an agile team as a Scrum Master, this course is for you!</v>
      </c>
      <c r="E293" s="18" t="str">
        <f>IFERROR(__xludf.DUMMYFUNCTION("""COMPUTED_VALUE"""),"Creativity and Innovation")</f>
        <v>Creativity and Innovation</v>
      </c>
      <c r="F293" s="19" t="str">
        <f>IFERROR(__xludf.DUMMYFUNCTION("""COMPUTED_VALUE"""),"Agile Academy - Sohrab Salimi")</f>
        <v>Agile Academy - Sohrab Salimi</v>
      </c>
      <c r="G293" s="20">
        <f>IFERROR(__xludf.DUMMYFUNCTION("""COMPUTED_VALUE"""),139.0)</f>
        <v>139</v>
      </c>
      <c r="H293" s="20">
        <f>IFERROR(__xludf.DUMMYFUNCTION("""COMPUTED_VALUE"""),56.0)</f>
        <v>56</v>
      </c>
      <c r="I293" s="21" t="str">
        <f>IFERROR(__xludf.DUMMYFUNCTION("""COMPUTED_VALUE"""),"English, German")</f>
        <v>English, German</v>
      </c>
      <c r="J293" s="21" t="str">
        <f>IFERROR(__xludf.DUMMYFUNCTION("""COMPUTED_VALUE"""),"German")</f>
        <v>German</v>
      </c>
      <c r="K293" s="22">
        <f>IFERROR(__xludf.DUMMYFUNCTION("""COMPUTED_VALUE"""),44804.0)</f>
        <v>44804</v>
      </c>
      <c r="L293" s="23" t="str">
        <f>IFERROR(__xludf.DUMMYFUNCTION("""COMPUTED_VALUE"""),"https://masterplan.com/courses/agiles-projektmanagement-iii-scrum")</f>
        <v>https://masterplan.com/courses/agiles-projektmanagement-iii-scrum</v>
      </c>
    </row>
    <row r="294">
      <c r="A294" s="6" t="str">
        <f>IFERROR(__xludf.DUMMYFUNCTION("""COMPUTED_VALUE"""),"Schnelles Entscheiden leicht gemacht")</f>
        <v>Schnelles Entscheiden leicht gemacht</v>
      </c>
      <c r="B294" s="7" t="str">
        <f>IFERROR(__xludf.DUMMYFUNCTION("""COMPUTED_VALUE"""),"How to Make Faster Decisions")</f>
        <v>How to Make Faster Decisions</v>
      </c>
      <c r="C294" s="8" t="str">
        <f>IFERROR(__xludf.DUMMYFUNCTION("""COMPUTED_VALUE"""),"Hast du schon mal von dem Begriff FOBO gehört? Das ist die Angst, eine falsche Entscheidung zu treffen und dadurch eine potenziell bessere Möglichkeit zu verpassen. Doch wie kannst du leicht und schnell eine Entscheidung treffen?")</f>
        <v>Hast du schon mal von dem Begriff FOBO gehört? Das ist die Angst, eine falsche Entscheidung zu treffen und dadurch eine potenziell bessere Möglichkeit zu verpassen. Doch wie kannst du leicht und schnell eine Entscheidung treffen?</v>
      </c>
      <c r="D294" s="8" t="str">
        <f>IFERROR(__xludf.DUMMYFUNCTION("""COMPUTED_VALUE"""),"Have you ever heard of the term FOBO? It's the fear of making the wrong decision and thereby missing out on a potentially better opportunity. But how can you make a decision easily and quickly?")</f>
        <v>Have you ever heard of the term FOBO? It's the fear of making the wrong decision and thereby missing out on a potentially better opportunity. But how can you make a decision easily and quickly?</v>
      </c>
      <c r="E294" s="26" t="str">
        <f>IFERROR(__xludf.DUMMYFUNCTION("""COMPUTED_VALUE"""),"Collaboration and Leadership")</f>
        <v>Collaboration and Leadership</v>
      </c>
      <c r="F294" s="10" t="str">
        <f>IFERROR(__xludf.DUMMYFUNCTION("""COMPUTED_VALUE"""),"TED")</f>
        <v>TED</v>
      </c>
      <c r="G294" s="11">
        <f>IFERROR(__xludf.DUMMYFUNCTION("""COMPUTED_VALUE"""),5.0)</f>
        <v>5</v>
      </c>
      <c r="H294" s="11">
        <f>IFERROR(__xludf.DUMMYFUNCTION("""COMPUTED_VALUE"""),3.0)</f>
        <v>3</v>
      </c>
      <c r="I294" s="12" t="str">
        <f>IFERROR(__xludf.DUMMYFUNCTION("""COMPUTED_VALUE"""),"English, German")</f>
        <v>English, German</v>
      </c>
      <c r="J294" s="12" t="str">
        <f>IFERROR(__xludf.DUMMYFUNCTION("""COMPUTED_VALUE"""),"English")</f>
        <v>English</v>
      </c>
      <c r="K294" s="13">
        <f>IFERROR(__xludf.DUMMYFUNCTION("""COMPUTED_VALUE"""),44804.0)</f>
        <v>44804</v>
      </c>
      <c r="L294" s="14" t="str">
        <f>IFERROR(__xludf.DUMMYFUNCTION("""COMPUTED_VALUE"""),"https://masterplan.com/courses/schnelles-entscheiden-leicht-gemacht")</f>
        <v>https://masterplan.com/courses/schnelles-entscheiden-leicht-gemacht</v>
      </c>
    </row>
    <row r="295">
      <c r="A295" s="15" t="str">
        <f>IFERROR(__xludf.DUMMYFUNCTION("""COMPUTED_VALUE"""),"Agiles Projektmanagement IV: Kanban")</f>
        <v>Agiles Projektmanagement IV: Kanban</v>
      </c>
      <c r="B295" s="16" t="str">
        <f>IFERROR(__xludf.DUMMYFUNCTION("""COMPUTED_VALUE"""),"Agile Project Management IV: Kanban")</f>
        <v>Agile Project Management IV: Kanban</v>
      </c>
      <c r="C295" s="17" t="str">
        <f>IFERROR(__xludf.DUMMYFUNCTION("""COMPUTED_VALUE"""),"Hast du trotz durchgetakteten Tagesablauf abends das Gefühl nichts geschafft zu haben? In diesem vierten Kurs der Reihe zum agilem Projektmanagement erklärt dir Sohrab die Kanban-Methode, mit der du Arbeit effizienter strukturieren kannst. ")</f>
        <v>Hast du trotz durchgetakteten Tagesablauf abends das Gefühl nichts geschafft zu haben? In diesem vierten Kurs der Reihe zum agilem Projektmanagement erklärt dir Sohrab die Kanban-Methode, mit der du Arbeit effizienter strukturieren kannst. </v>
      </c>
      <c r="D295" s="17" t="str">
        <f>IFERROR(__xludf.DUMMYFUNCTION("""COMPUTED_VALUE"""),"Do you sometimes feel like you didn't get anything done at work? Despite having a well-planned daily routine? In this fourth course of the Agile Project Management series, Sohrab explains the Kanban method, which will help you structure your work more eff"&amp;"iciently.")</f>
        <v>Do you sometimes feel like you didn't get anything done at work? Despite having a well-planned daily routine? In this fourth course of the Agile Project Management series, Sohrab explains the Kanban method, which will help you structure your work more efficiently.</v>
      </c>
      <c r="E295" s="18" t="str">
        <f>IFERROR(__xludf.DUMMYFUNCTION("""COMPUTED_VALUE"""),"Creativity and Innovation")</f>
        <v>Creativity and Innovation</v>
      </c>
      <c r="F295" s="19" t="str">
        <f>IFERROR(__xludf.DUMMYFUNCTION("""COMPUTED_VALUE"""),"Agile Academy - Sohrab Salimi")</f>
        <v>Agile Academy - Sohrab Salimi</v>
      </c>
      <c r="G295" s="20">
        <f>IFERROR(__xludf.DUMMYFUNCTION("""COMPUTED_VALUE"""),49.0)</f>
        <v>49</v>
      </c>
      <c r="H295" s="20">
        <f>IFERROR(__xludf.DUMMYFUNCTION("""COMPUTED_VALUE"""),14.0)</f>
        <v>14</v>
      </c>
      <c r="I295" s="21" t="str">
        <f>IFERROR(__xludf.DUMMYFUNCTION("""COMPUTED_VALUE"""),"English, German")</f>
        <v>English, German</v>
      </c>
      <c r="J295" s="21" t="str">
        <f>IFERROR(__xludf.DUMMYFUNCTION("""COMPUTED_VALUE"""),"German")</f>
        <v>German</v>
      </c>
      <c r="K295" s="22">
        <f>IFERROR(__xludf.DUMMYFUNCTION("""COMPUTED_VALUE"""),44804.0)</f>
        <v>44804</v>
      </c>
      <c r="L295" s="23" t="str">
        <f>IFERROR(__xludf.DUMMYFUNCTION("""COMPUTED_VALUE"""),"https://masterplan.com/courses/agiles-projektmanagement-iv-kanban")</f>
        <v>https://masterplan.com/courses/agiles-projektmanagement-iv-kanban</v>
      </c>
    </row>
    <row r="296">
      <c r="A296" s="6" t="str">
        <f>IFERROR(__xludf.DUMMYFUNCTION("""COMPUTED_VALUE"""),"Neuigkeiten in KI &amp; Tech August V")</f>
        <v>Neuigkeiten in KI &amp; Tech August V</v>
      </c>
      <c r="B296" s="7" t="str">
        <f>IFERROR(__xludf.DUMMYFUNCTION("""COMPUTED_VALUE"""),"News in AI &amp; Tech August V")</f>
        <v>News in AI &amp; Tech August V</v>
      </c>
      <c r="C296" s="8" t="str">
        <f>IFERROR(__xludf.DUMMYFUNCTION("""COMPUTED_VALUE"""),"Ein schwarzer KI-Rapper, der von einem weißen Entwickler erschaffen wurde, sorgt für Kontroversen: Ein Start-up nutzt KI, um den Akzent ihrer Callcenter-Agenten zu ändern – diese Woche konzentriert sich Gianluca auf KI und rassistische Herausforderungen, "&amp;"denen wir mit KI-Tools begegnen.")</f>
        <v>Ein schwarzer KI-Rapper, der von einem weißen Entwickler erschaffen wurde, sorgt für Kontroversen: Ein Start-up nutzt KI, um den Akzent ihrer Callcenter-Agenten zu ändern – diese Woche konzentriert sich Gianluca auf KI und rassistische Herausforderungen, denen wir mit KI-Tools begegnen.</v>
      </c>
      <c r="D296" s="8" t="str">
        <f>IFERROR(__xludf.DUMMYFUNCTION("""COMPUTED_VALUE"""),"A black AI rapper created by a white guy generates controversies, and a startup uses AI to change call center agents’ accents - this week Gianluca focuses on AI and racist challenges we are facing with AI tools.")</f>
        <v>A black AI rapper created by a white guy generates controversies, and a startup uses AI to change call center agents’ accents - this week Gianluca focuses on AI and racist challenges we are facing with AI tools.</v>
      </c>
      <c r="E296" s="25" t="str">
        <f>IFERROR(__xludf.DUMMYFUNCTION("""COMPUTED_VALUE"""),"Digital Literacy")</f>
        <v>Digital Literacy</v>
      </c>
      <c r="F296" s="10" t="str">
        <f>IFERROR(__xludf.DUMMYFUNCTION("""COMPUTED_VALUE"""),"AI Academy - Gianluca Mauro")</f>
        <v>AI Academy - Gianluca Mauro</v>
      </c>
      <c r="G296" s="11">
        <f>IFERROR(__xludf.DUMMYFUNCTION("""COMPUTED_VALUE"""),11.0)</f>
        <v>11</v>
      </c>
      <c r="H296" s="11">
        <f>IFERROR(__xludf.DUMMYFUNCTION("""COMPUTED_VALUE"""),1.0)</f>
        <v>1</v>
      </c>
      <c r="I296" s="12" t="str">
        <f>IFERROR(__xludf.DUMMYFUNCTION("""COMPUTED_VALUE"""),"English, German")</f>
        <v>English, German</v>
      </c>
      <c r="J296" s="12" t="str">
        <f>IFERROR(__xludf.DUMMYFUNCTION("""COMPUTED_VALUE"""),"English")</f>
        <v>English</v>
      </c>
      <c r="K296" s="13">
        <f>IFERROR(__xludf.DUMMYFUNCTION("""COMPUTED_VALUE"""),44804.0)</f>
        <v>44804</v>
      </c>
      <c r="L296" s="14" t="str">
        <f>IFERROR(__xludf.DUMMYFUNCTION("""COMPUTED_VALUE"""),"https://masterplan.com/courses/tech-updates-august-v")</f>
        <v>https://masterplan.com/courses/tech-updates-august-v</v>
      </c>
    </row>
    <row r="297">
      <c r="A297" s="15" t="str">
        <f>IFERROR(__xludf.DUMMYFUNCTION("""COMPUTED_VALUE"""),"Neuigkeiten in KI &amp; Tech August IV")</f>
        <v>Neuigkeiten in KI &amp; Tech August IV</v>
      </c>
      <c r="B297" s="16" t="str">
        <f>IFERROR(__xludf.DUMMYFUNCTION("""COMPUTED_VALUE"""),"News in AI &amp; Tech August IV")</f>
        <v>News in AI &amp; Tech August IV</v>
      </c>
      <c r="C297" s="17" t="str">
        <f>IFERROR(__xludf.DUMMYFUNCTION("""COMPUTED_VALUE"""),"Diese Woche konzentriert sich Gianluca auf TikTok – die am schnellsten wachsende Social-Media-Plattform. Welchen Herausforderungen begegnen wir hier in Sachen Datenschutz? Genauer, wie problematisch sind die zum Screen Reading oder zur Bilderkennung einge"&amp;"setzten Tools?")</f>
        <v>Diese Woche konzentriert sich Gianluca auf TikTok – die am schnellsten wachsende Social-Media-Plattform. Welchen Herausforderungen begegnen wir hier in Sachen Datenschutz? Genauer, wie problematisch sind die zum Screen Reading oder zur Bilderkennung eingesetzten Tools?</v>
      </c>
      <c r="D297" s="17" t="str">
        <f>IFERROR(__xludf.DUMMYFUNCTION("""COMPUTED_VALUE"""),"This week Gianluca focuses on TikTok, the fastest growing Social Media platform, and its challenges with data protection.")</f>
        <v>This week Gianluca focuses on TikTok, the fastest growing Social Media platform, and its challenges with data protection.</v>
      </c>
      <c r="E297" s="25" t="str">
        <f>IFERROR(__xludf.DUMMYFUNCTION("""COMPUTED_VALUE"""),"Digital Literacy")</f>
        <v>Digital Literacy</v>
      </c>
      <c r="F297" s="19" t="str">
        <f>IFERROR(__xludf.DUMMYFUNCTION("""COMPUTED_VALUE"""),"AI Academy - Gianluca Mauro")</f>
        <v>AI Academy - Gianluca Mauro</v>
      </c>
      <c r="G297" s="20">
        <f>IFERROR(__xludf.DUMMYFUNCTION("""COMPUTED_VALUE"""),10.0)</f>
        <v>10</v>
      </c>
      <c r="H297" s="20">
        <f>IFERROR(__xludf.DUMMYFUNCTION("""COMPUTED_VALUE"""),1.0)</f>
        <v>1</v>
      </c>
      <c r="I297" s="21" t="str">
        <f>IFERROR(__xludf.DUMMYFUNCTION("""COMPUTED_VALUE"""),"English, German")</f>
        <v>English, German</v>
      </c>
      <c r="J297" s="21" t="str">
        <f>IFERROR(__xludf.DUMMYFUNCTION("""COMPUTED_VALUE"""),"English")</f>
        <v>English</v>
      </c>
      <c r="K297" s="22">
        <f>IFERROR(__xludf.DUMMYFUNCTION("""COMPUTED_VALUE"""),44803.0)</f>
        <v>44803</v>
      </c>
      <c r="L297" s="23" t="str">
        <f>IFERROR(__xludf.DUMMYFUNCTION("""COMPUTED_VALUE"""),"https://masterplan.com/courses/tech-updates-august-iv")</f>
        <v>https://masterplan.com/courses/tech-updates-august-iv</v>
      </c>
    </row>
    <row r="298">
      <c r="A298" s="6" t="str">
        <f>IFERROR(__xludf.DUMMYFUNCTION("""COMPUTED_VALUE"""),"Mache Zurückweisung zu deinem Freund")</f>
        <v>Mache Zurückweisung zu deinem Freund</v>
      </c>
      <c r="B298" s="7" t="str">
        <f>IFERROR(__xludf.DUMMYFUNCTION("""COMPUTED_VALUE"""),"What I Learned From 100 Days of Rejection")</f>
        <v>What I Learned From 100 Days of Rejection</v>
      </c>
      <c r="C298" s="8" t="str">
        <f>IFERROR(__xludf.DUMMYFUNCTION("""COMPUTED_VALUE"""),"Zurückweisung ist kein schönes Gefühl. Deswegen setzen wir alles daran, dieses Gefühl zu vermeiden. Doch was passiert, wenn man sich 100 Tage lang bewusst diesem Gefühl aussetzt? Jia Jiang berichtet in diesem TED-Talk von seinen Erfahrungen.")</f>
        <v>Zurückweisung ist kein schönes Gefühl. Deswegen setzen wir alles daran, dieses Gefühl zu vermeiden. Doch was passiert, wenn man sich 100 Tage lang bewusst diesem Gefühl aussetzt? Jia Jiang berichtet in diesem TED-Talk von seinen Erfahrungen.</v>
      </c>
      <c r="D298" s="8" t="str">
        <f>IFERROR(__xludf.DUMMYFUNCTION("""COMPUTED_VALUE"""),"Being rejected doesn't feel good. That's why we do everything we can to avoid it. But what happens when you consciously expose yourself to the feeling of rejection for 100 days? Jia Jiang shares his experiences in this TED Talk.")</f>
        <v>Being rejected doesn't feel good. That's why we do everything we can to avoid it. But what happens when you consciously expose yourself to the feeling of rejection for 100 days? Jia Jiang shares his experiences in this TED Talk.</v>
      </c>
      <c r="E298" s="24" t="str">
        <f>IFERROR(__xludf.DUMMYFUNCTION("""COMPUTED_VALUE"""),"Emotional Intelligence")</f>
        <v>Emotional Intelligence</v>
      </c>
      <c r="F298" s="10" t="str">
        <f>IFERROR(__xludf.DUMMYFUNCTION("""COMPUTED_VALUE"""),"TED")</f>
        <v>TED</v>
      </c>
      <c r="G298" s="11">
        <f>IFERROR(__xludf.DUMMYFUNCTION("""COMPUTED_VALUE"""),15.0)</f>
        <v>15</v>
      </c>
      <c r="H298" s="11">
        <f>IFERROR(__xludf.DUMMYFUNCTION("""COMPUTED_VALUE"""),1.0)</f>
        <v>1</v>
      </c>
      <c r="I298" s="12" t="str">
        <f>IFERROR(__xludf.DUMMYFUNCTION("""COMPUTED_VALUE"""),"English, German")</f>
        <v>English, German</v>
      </c>
      <c r="J298" s="12" t="str">
        <f>IFERROR(__xludf.DUMMYFUNCTION("""COMPUTED_VALUE"""),"English")</f>
        <v>English</v>
      </c>
      <c r="K298" s="13">
        <f>IFERROR(__xludf.DUMMYFUNCTION("""COMPUTED_VALUE"""),44802.0)</f>
        <v>44802</v>
      </c>
      <c r="L298" s="14" t="str">
        <f>IFERROR(__xludf.DUMMYFUNCTION("""COMPUTED_VALUE"""),"https://masterplan.com/courses/mache-zurueckweisung-zu-deinem-freund")</f>
        <v>https://masterplan.com/courses/mache-zurueckweisung-zu-deinem-freund</v>
      </c>
    </row>
    <row r="299">
      <c r="A299" s="15" t="str">
        <f>IFERROR(__xludf.DUMMYFUNCTION("""COMPUTED_VALUE"""),"[OFFLINE] Mit Diversität und Inklusion gemeinsam zum Erfolg")</f>
        <v>[OFFLINE] Mit Diversität und Inklusion gemeinsam zum Erfolg</v>
      </c>
      <c r="B299" s="16" t="str">
        <f>IFERROR(__xludf.DUMMYFUNCTION("""COMPUTED_VALUE"""),"[OFFLINE] Want to Truly Succeed? Lift Others Up While You Climb")</f>
        <v>[OFFLINE] Want to Truly Succeed? Lift Others Up While You Climb</v>
      </c>
      <c r="C299" s="17" t="str">
        <f>IFERROR(__xludf.DUMMYFUNCTION("""COMPUTED_VALUE"""),"Eigene Privilegien hinterfragen, anderen eine Stimme ermöglichen: Erfolg wird nicht durch eine Person geschaffen, sondern durch Teamwork. Erfolgreiche Teams sind inklusive und diverse Teams. Doch wie kannst du dies aktiv fördern? Erhalte hier praktikable "&amp;"Tipps! ")</f>
        <v>Eigene Privilegien hinterfragen, anderen eine Stimme ermöglichen: Erfolg wird nicht durch eine Person geschaffen, sondern durch Teamwork. Erfolgreiche Teams sind inklusive und diverse Teams. Doch wie kannst du dies aktiv fördern? Erhalte hier praktikable Tipps! </v>
      </c>
      <c r="D299" s="17" t="str">
        <f>IFERROR(__xludf.DUMMYFUNCTION("""COMPUTED_VALUE"""),"Question your own privileges and help others find their voirce: Success is not created by individual people, but through team-work. Successful teams are inclusive and diverse teams. But how can you actively promote diversity and inclusion? We have some he"&amp;"lpful tips!")</f>
        <v>Question your own privileges and help others find their voirce: Success is not created by individual people, but through team-work. Successful teams are inclusive and diverse teams. But how can you actively promote diversity and inclusion? We have some helpful tips!</v>
      </c>
      <c r="E299" s="18" t="str">
        <f>IFERROR(__xludf.DUMMYFUNCTION("""COMPUTED_VALUE"""),"Creativity and Innovation")</f>
        <v>Creativity and Innovation</v>
      </c>
      <c r="F299" s="19" t="str">
        <f>IFERROR(__xludf.DUMMYFUNCTION("""COMPUTED_VALUE"""),"TED")</f>
        <v>TED</v>
      </c>
      <c r="G299" s="20">
        <f>IFERROR(__xludf.DUMMYFUNCTION("""COMPUTED_VALUE"""),6.0)</f>
        <v>6</v>
      </c>
      <c r="H299" s="20">
        <f>IFERROR(__xludf.DUMMYFUNCTION("""COMPUTED_VALUE"""),3.0)</f>
        <v>3</v>
      </c>
      <c r="I299" s="21" t="str">
        <f>IFERROR(__xludf.DUMMYFUNCTION("""COMPUTED_VALUE"""),"English, German")</f>
        <v>English, German</v>
      </c>
      <c r="J299" s="21" t="str">
        <f>IFERROR(__xludf.DUMMYFUNCTION("""COMPUTED_VALUE"""),"English")</f>
        <v>English</v>
      </c>
      <c r="K299" s="22">
        <f>IFERROR(__xludf.DUMMYFUNCTION("""COMPUTED_VALUE"""),44802.0)</f>
        <v>44802</v>
      </c>
      <c r="L299" s="23" t="str">
        <f>IFERROR(__xludf.DUMMYFUNCTION("""COMPUTED_VALUE"""),"https://masterplan.com/courses/mit-diversitaet-und-inklusion-gemeinsam-zum-erfolg")</f>
        <v>https://masterplan.com/courses/mit-diversitaet-und-inklusion-gemeinsam-zum-erfolg</v>
      </c>
    </row>
    <row r="300">
      <c r="A300" s="6" t="str">
        <f>IFERROR(__xludf.DUMMYFUNCTION("""COMPUTED_VALUE"""),"Agiles Projektmanagement I: Was ist Agilität?")</f>
        <v>Agiles Projektmanagement I: Was ist Agilität?</v>
      </c>
      <c r="B300" s="7" t="str">
        <f>IFERROR(__xludf.DUMMYFUNCTION("""COMPUTED_VALUE"""),"Agile Project Management I: What is Agility?")</f>
        <v>Agile Project Management I: What is Agility?</v>
      </c>
      <c r="C300" s="8" t="str">
        <f>IFERROR(__xludf.DUMMYFUNCTION("""COMPUTED_VALUE"""),"Agilität, Scrum, Kanban - Buzzwords, ohne die kein Managementratgeber auszukommen scheint.  Was steckt hinter dem Begriff Agilität, und wie kann er deine Projekte effektiver und schlanker machen? Sohrab erklärt dir genau, welche Vorteile agiles Denken mit"&amp;" sich bringt. ")</f>
        <v>Agilität, Scrum, Kanban - Buzzwords, ohne die kein Managementratgeber auszukommen scheint.  Was steckt hinter dem Begriff Agilität, und wie kann er deine Projekte effektiver und schlanker machen? Sohrab erklärt dir genau, welche Vorteile agiles Denken mit sich bringt. </v>
      </c>
      <c r="D300" s="8" t="str">
        <f>IFERROR(__xludf.DUMMYFUNCTION("""COMPUTED_VALUE"""),"Agility, Scrum, Kanban - buzzwords no management guidebook seems to be able to ignore. What's behind the term agility, and how can it make your projects more effective and leaner? Sohrab explains exactly which advantages agile thinking has.")</f>
        <v>Agility, Scrum, Kanban - buzzwords no management guidebook seems to be able to ignore. What's behind the term agility, and how can it make your projects more effective and leaner? Sohrab explains exactly which advantages agile thinking has.</v>
      </c>
      <c r="E300" s="18" t="str">
        <f>IFERROR(__xludf.DUMMYFUNCTION("""COMPUTED_VALUE"""),"Creativity and Innovation")</f>
        <v>Creativity and Innovation</v>
      </c>
      <c r="F300" s="10" t="str">
        <f>IFERROR(__xludf.DUMMYFUNCTION("""COMPUTED_VALUE"""),"Agile Academy - Sohrab Salimi")</f>
        <v>Agile Academy - Sohrab Salimi</v>
      </c>
      <c r="G300" s="11">
        <f>IFERROR(__xludf.DUMMYFUNCTION("""COMPUTED_VALUE"""),74.0)</f>
        <v>74</v>
      </c>
      <c r="H300" s="11">
        <f>IFERROR(__xludf.DUMMYFUNCTION("""COMPUTED_VALUE"""),19.0)</f>
        <v>19</v>
      </c>
      <c r="I300" s="12" t="str">
        <f>IFERROR(__xludf.DUMMYFUNCTION("""COMPUTED_VALUE"""),"English, German")</f>
        <v>English, German</v>
      </c>
      <c r="J300" s="12" t="str">
        <f>IFERROR(__xludf.DUMMYFUNCTION("""COMPUTED_VALUE"""),"German")</f>
        <v>German</v>
      </c>
      <c r="K300" s="13">
        <f>IFERROR(__xludf.DUMMYFUNCTION("""COMPUTED_VALUE"""),44802.0)</f>
        <v>44802</v>
      </c>
      <c r="L300" s="14" t="str">
        <f>IFERROR(__xludf.DUMMYFUNCTION("""COMPUTED_VALUE"""),"https://masterplan.com/courses/agiles-projektmanagement-i-was-ist-agilitaet")</f>
        <v>https://masterplan.com/courses/agiles-projektmanagement-i-was-ist-agilitaet</v>
      </c>
    </row>
    <row r="301">
      <c r="A301" s="15" t="str">
        <f>IFERROR(__xludf.DUMMYFUNCTION("""COMPUTED_VALUE"""),"Agiles Projektmanagement II: Design Thinking")</f>
        <v>Agiles Projektmanagement II: Design Thinking</v>
      </c>
      <c r="B301" s="16" t="str">
        <f>IFERROR(__xludf.DUMMYFUNCTION("""COMPUTED_VALUE"""),"Agile Project Management II: Design Thinking")</f>
        <v>Agile Project Management II: Design Thinking</v>
      </c>
      <c r="C301" s="17" t="str">
        <f>IFERROR(__xludf.DUMMYFUNCTION("""COMPUTED_VALUE"""),"Nie mehr am Kunden vorbei planen: Design Thinking hilft dir,  Nutzer:innen deiner Produkte oder Dienstleistungen wirklich zu verstehen und deine Ideen systematisch zu testen. Sohrab von der Agile Academy zeigt dir Schritt für Schritt, wie es geht! ")</f>
        <v>Nie mehr am Kunden vorbei planen: Design Thinking hilft dir,  Nutzer:innen deiner Produkte oder Dienstleistungen wirklich zu verstehen und deine Ideen systematisch zu testen. Sohrab von der Agile Academy zeigt dir Schritt für Schritt, wie es geht! </v>
      </c>
      <c r="D301" s="17" t="str">
        <f>IFERROR(__xludf.DUMMYFUNCTION("""COMPUTED_VALUE"""),"Never be oblivious to your customers ever again: Design Thinking helps you to really understand the users of your products or services and to systematically test your ideas. Sohrab from Agile Academy shows you how it works step by step!")</f>
        <v>Never be oblivious to your customers ever again: Design Thinking helps you to really understand the users of your products or services and to systematically test your ideas. Sohrab from Agile Academy shows you how it works step by step!</v>
      </c>
      <c r="E301" s="18" t="str">
        <f>IFERROR(__xludf.DUMMYFUNCTION("""COMPUTED_VALUE"""),"Creativity and Innovation")</f>
        <v>Creativity and Innovation</v>
      </c>
      <c r="F301" s="19" t="str">
        <f>IFERROR(__xludf.DUMMYFUNCTION("""COMPUTED_VALUE"""),"Agile Academy - Sohrab Salimi")</f>
        <v>Agile Academy - Sohrab Salimi</v>
      </c>
      <c r="G301" s="20">
        <f>IFERROR(__xludf.DUMMYFUNCTION("""COMPUTED_VALUE"""),47.0)</f>
        <v>47</v>
      </c>
      <c r="H301" s="20">
        <f>IFERROR(__xludf.DUMMYFUNCTION("""COMPUTED_VALUE"""),21.0)</f>
        <v>21</v>
      </c>
      <c r="I301" s="21" t="str">
        <f>IFERROR(__xludf.DUMMYFUNCTION("""COMPUTED_VALUE"""),"English, German")</f>
        <v>English, German</v>
      </c>
      <c r="J301" s="21" t="str">
        <f>IFERROR(__xludf.DUMMYFUNCTION("""COMPUTED_VALUE"""),"German")</f>
        <v>German</v>
      </c>
      <c r="K301" s="22">
        <f>IFERROR(__xludf.DUMMYFUNCTION("""COMPUTED_VALUE"""),44802.0)</f>
        <v>44802</v>
      </c>
      <c r="L301" s="23" t="str">
        <f>IFERROR(__xludf.DUMMYFUNCTION("""COMPUTED_VALUE"""),"https://masterplan.com/courses/agiles-projektmanagement-ii-design-thinking")</f>
        <v>https://masterplan.com/courses/agiles-projektmanagement-ii-design-thinking</v>
      </c>
    </row>
    <row r="302">
      <c r="A302" s="6" t="str">
        <f>IFERROR(__xludf.DUMMYFUNCTION("""COMPUTED_VALUE"""),"Emissionsfrei in die Zukunft, neue Technologien fördern")</f>
        <v>Emissionsfrei in die Zukunft, neue Technologien fördern</v>
      </c>
      <c r="B302" s="7" t="str">
        <f>IFERROR(__xludf.DUMMYFUNCTION("""COMPUTED_VALUE"""),"Why Good Ideas Get Trapped in the Valley of Death")</f>
        <v>Why Good Ideas Get Trapped in the Valley of Death</v>
      </c>
      <c r="C302" s="8" t="str">
        <f>IFERROR(__xludf.DUMMYFUNCTION("""COMPUTED_VALUE"""),"Es gibt viele gute Ideen, aber nicht alle schaffen es auch bis zur Umsetzung. Problematisch wird das bei Ideen für emissionsfreie Technologien - die brauchen wir dringend! Also, wie schaffen es Ideen rund um emissionsfreie Technologien in die Umsetzung?")</f>
        <v>Es gibt viele gute Ideen, aber nicht alle schaffen es auch bis zur Umsetzung. Problematisch wird das bei Ideen für emissionsfreie Technologien - die brauchen wir dringend! Also, wie schaffen es Ideen rund um emissionsfreie Technologien in die Umsetzung?</v>
      </c>
      <c r="D302" s="8" t="str">
        <f>IFERROR(__xludf.DUMMYFUNCTION("""COMPUTED_VALUE"""),"There are many good ideas, but not all of them make it to the implementation stage. This can be problematic with ideas for emission-free technologies - which we urgently need! So how can we get ideas for zero-emission technologies to make it to the implem"&amp;"entation stage?")</f>
        <v>There are many good ideas, but not all of them make it to the implementation stage. This can be problematic with ideas for emission-free technologies - which we urgently need! So how can we get ideas for zero-emission technologies to make it to the implementation stage?</v>
      </c>
      <c r="E302" s="9" t="str">
        <f>IFERROR(__xludf.DUMMYFUNCTION("""COMPUTED_VALUE"""),"Global Citizenship")</f>
        <v>Global Citizenship</v>
      </c>
      <c r="F302" s="10" t="str">
        <f>IFERROR(__xludf.DUMMYFUNCTION("""COMPUTED_VALUE"""),"TED")</f>
        <v>TED</v>
      </c>
      <c r="G302" s="11">
        <f>IFERROR(__xludf.DUMMYFUNCTION("""COMPUTED_VALUE"""),5.0)</f>
        <v>5</v>
      </c>
      <c r="H302" s="11">
        <f>IFERROR(__xludf.DUMMYFUNCTION("""COMPUTED_VALUE"""),3.0)</f>
        <v>3</v>
      </c>
      <c r="I302" s="12" t="str">
        <f>IFERROR(__xludf.DUMMYFUNCTION("""COMPUTED_VALUE"""),"English, German")</f>
        <v>English, German</v>
      </c>
      <c r="J302" s="12" t="str">
        <f>IFERROR(__xludf.DUMMYFUNCTION("""COMPUTED_VALUE"""),"English")</f>
        <v>English</v>
      </c>
      <c r="K302" s="13">
        <f>IFERROR(__xludf.DUMMYFUNCTION("""COMPUTED_VALUE"""),44802.0)</f>
        <v>44802</v>
      </c>
      <c r="L302" s="14" t="str">
        <f>IFERROR(__xludf.DUMMYFUNCTION("""COMPUTED_VALUE"""),"https://masterplan.com/courses/emissionsfrei-in-die-zukunft-neue-technologien-foerdern")</f>
        <v>https://masterplan.com/courses/emissionsfrei-in-die-zukunft-neue-technologien-foerdern</v>
      </c>
    </row>
    <row r="303">
      <c r="A303" s="15" t="str">
        <f>IFERROR(__xludf.DUMMYFUNCTION("""COMPUTED_VALUE"""),"Drei Regeln für eine bessere Work-Life-Balance")</f>
        <v>Drei Regeln für eine bessere Work-Life-Balance</v>
      </c>
      <c r="B303" s="16" t="str">
        <f>IFERROR(__xludf.DUMMYFUNCTION("""COMPUTED_VALUE"""),"3 Rules for a Better Work-Life-Balance")</f>
        <v>3 Rules for a Better Work-Life-Balance</v>
      </c>
      <c r="C303" s="17" t="str">
        <f>IFERROR(__xludf.DUMMYFUNCTION("""COMPUTED_VALUE"""),"E-Mails checken, hier noch eine Nachricht verschicken und - oh, ein Kollege ruft an. Lässt die Arbeit dich nach Feierabend nicht in Ruhe? Jetzt ist Schluss damit! Schnapp dir drei einfache Tipps, mit denen deine Work-Life-Balance nicht aus dem Gleichgewic"&amp;"ht gerät.")</f>
        <v>E-Mails checken, hier noch eine Nachricht verschicken und - oh, ein Kollege ruft an. Lässt die Arbeit dich nach Feierabend nicht in Ruhe? Jetzt ist Schluss damit! Schnapp dir drei einfache Tipps, mit denen deine Work-Life-Balance nicht aus dem Gleichgewicht gerät.</v>
      </c>
      <c r="D303" s="17" t="str">
        <f>IFERROR(__xludf.DUMMYFUNCTION("""COMPUTED_VALUE"""),"Checking your e-mails, sending another message and - oh, a colleague is calling you. Does work follow you home? Well, that's over now! Here are three simple tips that will keep your work-life balance in check.")</f>
        <v>Checking your e-mails, sending another message and - oh, a colleague is calling you. Does work follow you home? Well, that's over now! Here are three simple tips that will keep your work-life balance in check.</v>
      </c>
      <c r="E303" s="24" t="str">
        <f>IFERROR(__xludf.DUMMYFUNCTION("""COMPUTED_VALUE"""),"Emotional Intelligence")</f>
        <v>Emotional Intelligence</v>
      </c>
      <c r="F303" s="19" t="str">
        <f>IFERROR(__xludf.DUMMYFUNCTION("""COMPUTED_VALUE"""),"TED")</f>
        <v>TED</v>
      </c>
      <c r="G303" s="20">
        <f>IFERROR(__xludf.DUMMYFUNCTION("""COMPUTED_VALUE"""),5.0)</f>
        <v>5</v>
      </c>
      <c r="H303" s="20">
        <f>IFERROR(__xludf.DUMMYFUNCTION("""COMPUTED_VALUE"""),3.0)</f>
        <v>3</v>
      </c>
      <c r="I303" s="21" t="str">
        <f>IFERROR(__xludf.DUMMYFUNCTION("""COMPUTED_VALUE"""),"English, German")</f>
        <v>English, German</v>
      </c>
      <c r="J303" s="21" t="str">
        <f>IFERROR(__xludf.DUMMYFUNCTION("""COMPUTED_VALUE"""),"English")</f>
        <v>English</v>
      </c>
      <c r="K303" s="22">
        <f>IFERROR(__xludf.DUMMYFUNCTION("""COMPUTED_VALUE"""),44802.0)</f>
        <v>44802</v>
      </c>
      <c r="L303" s="23" t="str">
        <f>IFERROR(__xludf.DUMMYFUNCTION("""COMPUTED_VALUE"""),"https://masterplan.com/courses/drei-regeln-fuer-eine-bessere-work-life-balance")</f>
        <v>https://masterplan.com/courses/drei-regeln-fuer-eine-bessere-work-life-balance</v>
      </c>
    </row>
    <row r="304">
      <c r="A304" s="6" t="str">
        <f>IFERROR(__xludf.DUMMYFUNCTION("""COMPUTED_VALUE"""),"Wenn nicht jetzt, wann dann? Die Klimakrise aktiv angehen")</f>
        <v>Wenn nicht jetzt, wann dann? Die Klimakrise aktiv angehen</v>
      </c>
      <c r="B304" s="7" t="str">
        <f>IFERROR(__xludf.DUMMYFUNCTION("""COMPUTED_VALUE"""),"This Is the Moment to Take on the Climate Crisis")</f>
        <v>This Is the Moment to Take on the Climate Crisis</v>
      </c>
      <c r="C304" s="8" t="str">
        <f>IFERROR(__xludf.DUMMYFUNCTION("""COMPUTED_VALUE"""),"Die Klimakrise bedroht unseren Planeten - Punkt. In diesem mitreißenden TED-Talk erklärt Al Gore, wie die finanziellen Interessen fossiler Raffinerien den politischen Entscheidungsprozess in wichtigen Ländern blockiert haben und ruft zum Handeln auf!")</f>
        <v>Die Klimakrise bedroht unseren Planeten - Punkt. In diesem mitreißenden TED-Talk erklärt Al Gore, wie die finanziellen Interessen fossiler Raffinerien den politischen Entscheidungsprozess in wichtigen Ländern blockiert haben und ruft zum Handeln auf!</v>
      </c>
      <c r="D304" s="8" t="str">
        <f>IFERROR(__xludf.DUMMYFUNCTION("""COMPUTED_VALUE"""),"The climate crisis is threatening our planet, and our future. In this moving TED Talk, Al Gore explains how the financial interests of fossil fuel refiners have blocked policy-making in key countries, and calls for the action necessary to protect our futu"&amp;"re.")</f>
        <v>The climate crisis is threatening our planet, and our future. In this moving TED Talk, Al Gore explains how the financial interests of fossil fuel refiners have blocked policy-making in key countries, and calls for the action necessary to protect our future.</v>
      </c>
      <c r="E304" s="9" t="str">
        <f>IFERROR(__xludf.DUMMYFUNCTION("""COMPUTED_VALUE"""),"Global Citizenship")</f>
        <v>Global Citizenship</v>
      </c>
      <c r="F304" s="10" t="str">
        <f>IFERROR(__xludf.DUMMYFUNCTION("""COMPUTED_VALUE"""),"TED")</f>
        <v>TED</v>
      </c>
      <c r="G304" s="11">
        <f>IFERROR(__xludf.DUMMYFUNCTION("""COMPUTED_VALUE"""),10.0)</f>
        <v>10</v>
      </c>
      <c r="H304" s="11">
        <f>IFERROR(__xludf.DUMMYFUNCTION("""COMPUTED_VALUE"""),1.0)</f>
        <v>1</v>
      </c>
      <c r="I304" s="12" t="str">
        <f>IFERROR(__xludf.DUMMYFUNCTION("""COMPUTED_VALUE"""),"English, German")</f>
        <v>English, German</v>
      </c>
      <c r="J304" s="12" t="str">
        <f>IFERROR(__xludf.DUMMYFUNCTION("""COMPUTED_VALUE"""),"English")</f>
        <v>English</v>
      </c>
      <c r="K304" s="13">
        <f>IFERROR(__xludf.DUMMYFUNCTION("""COMPUTED_VALUE"""),44798.0)</f>
        <v>44798</v>
      </c>
      <c r="L304" s="14" t="str">
        <f>IFERROR(__xludf.DUMMYFUNCTION("""COMPUTED_VALUE"""),"https://masterplan.com/courses/wenn-nicht-jetzt-wann-dann-die-klimakrise-aktiv-angehen")</f>
        <v>https://masterplan.com/courses/wenn-nicht-jetzt-wann-dann-die-klimakrise-aktiv-angehen</v>
      </c>
    </row>
    <row r="305">
      <c r="A305" s="15" t="str">
        <f>IFERROR(__xludf.DUMMYFUNCTION("""COMPUTED_VALUE"""),"[OFFLINE] Helfen macht glücklich – aber es kommt darauf an, wie wir helfen")</f>
        <v>[OFFLINE] Helfen macht glücklich – aber es kommt darauf an, wie wir helfen</v>
      </c>
      <c r="B305" s="16" t="str">
        <f>IFERROR(__xludf.DUMMYFUNCTION("""COMPUTED_VALUE"""),"[OFFLINE] Helping Others Makes Us Happier - but It Matters How We Do It")</f>
        <v>[OFFLINE] Helping Others Makes Us Happier - but It Matters How We Do It</v>
      </c>
      <c r="C305" s="17" t="str">
        <f>IFERROR(__xludf.DUMMYFUNCTION("""COMPUTED_VALUE"""),"Studien zeigen, dass helfen glücklich macht. Doch die Sozialpsychologin Elizabeth Dunn hat in ihrer bahnbrechenden Arbeit über Großzügigkeit und Freude herausgefunden, dass es einen Haken gibt: Es kommt darauf an, wie wir helfen. Drück auf Play und steige"&amp;"r dein Glück!")</f>
        <v>Studien zeigen, dass helfen glücklich macht. Doch die Sozialpsychologin Elizabeth Dunn hat in ihrer bahnbrechenden Arbeit über Großzügigkeit und Freude herausgefunden, dass es einen Haken gibt: Es kommt darauf an, wie wir helfen. Drück auf Play und steiger dein Glück!</v>
      </c>
      <c r="D305" s="17" t="str">
        <f>IFERROR(__xludf.DUMMYFUNCTION("""COMPUTED_VALUE"""),"Research shows that helping others makes us happier. But in her groundbreaking work on generosity and joy, social psychologist Elizabeth Dunn found that there's a catch: it matters how we help other people. Press play and boost your happiness!")</f>
        <v>Research shows that helping others makes us happier. But in her groundbreaking work on generosity and joy, social psychologist Elizabeth Dunn found that there's a catch: it matters how we help other people. Press play and boost your happiness!</v>
      </c>
      <c r="E305" s="26" t="str">
        <f>IFERROR(__xludf.DUMMYFUNCTION("""COMPUTED_VALUE"""),"Collaboration and Leadership")</f>
        <v>Collaboration and Leadership</v>
      </c>
      <c r="F305" s="19" t="str">
        <f>IFERROR(__xludf.DUMMYFUNCTION("""COMPUTED_VALUE"""),"TED")</f>
        <v>TED</v>
      </c>
      <c r="G305" s="20">
        <f>IFERROR(__xludf.DUMMYFUNCTION("""COMPUTED_VALUE"""),14.0)</f>
        <v>14</v>
      </c>
      <c r="H305" s="20">
        <f>IFERROR(__xludf.DUMMYFUNCTION("""COMPUTED_VALUE"""),1.0)</f>
        <v>1</v>
      </c>
      <c r="I305" s="21" t="str">
        <f>IFERROR(__xludf.DUMMYFUNCTION("""COMPUTED_VALUE"""),"English, German")</f>
        <v>English, German</v>
      </c>
      <c r="J305" s="21" t="str">
        <f>IFERROR(__xludf.DUMMYFUNCTION("""COMPUTED_VALUE"""),"English")</f>
        <v>English</v>
      </c>
      <c r="K305" s="22">
        <f>IFERROR(__xludf.DUMMYFUNCTION("""COMPUTED_VALUE"""),44798.0)</f>
        <v>44798</v>
      </c>
      <c r="L305" s="23" t="str">
        <f>IFERROR(__xludf.DUMMYFUNCTION("""COMPUTED_VALUE"""),"https://masterplan.com/courses/helfen-macht-gluecklich-aber-es-kommt-darauf-an-wie-wir-helfen")</f>
        <v>https://masterplan.com/courses/helfen-macht-gluecklich-aber-es-kommt-darauf-an-wie-wir-helfen</v>
      </c>
    </row>
    <row r="306">
      <c r="A306" s="6" t="str">
        <f>IFERROR(__xludf.DUMMYFUNCTION("""COMPUTED_VALUE"""),"[OFFLINE] Warum ein Gespräch mit Fremden glücklich macht")</f>
        <v>[OFFLINE] Warum ein Gespräch mit Fremden glücklich macht</v>
      </c>
      <c r="B306" s="7" t="str">
        <f>IFERROR(__xludf.DUMMYFUNCTION("""COMPUTED_VALUE"""),"[OFFLINE] Why You Should Talk to Strangers")</f>
        <v>[OFFLINE] Why You Should Talk to Strangers</v>
      </c>
      <c r="C306" s="8" t="str">
        <f>IFERROR(__xludf.DUMMYFUNCTION("""COMPUTED_VALUE"""),"Unsere Eltern brachten uns bei, nicht mit Fremden zu sprechen. Als Erwachsene vermeiden wir es immer noch und verpassen dadurch einige schöne Begegnungen. Folgende Challenge für dich: Wenn du das nächste Mal mit einem Fremden sprichst, erzähl ihm etwas Wa"&amp;"hres über dich.")</f>
        <v>Unsere Eltern brachten uns bei, nicht mit Fremden zu sprechen. Als Erwachsene vermeiden wir es immer noch und verpassen dadurch einige schöne Begegnungen. Folgende Challenge für dich: Wenn du das nächste Mal mit einem Fremden sprichst, erzähl ihm etwas Wahres über dich.</v>
      </c>
      <c r="D306" s="8" t="str">
        <f>IFERROR(__xludf.DUMMYFUNCTION("""COMPUTED_VALUE"""),"When we were young, our parents taught us to not talk to strangers. As grown ups we still avoid it and therefore miss out on some beautiful encounters. Here’s a little challenge for you: next time you are talking to a stranger, tell them something true ab"&amp;"out yourself.")</f>
        <v>When we were young, our parents taught us to not talk to strangers. As grown ups we still avoid it and therefore miss out on some beautiful encounters. Here’s a little challenge for you: next time you are talking to a stranger, tell them something true about yourself.</v>
      </c>
      <c r="E306" s="28" t="str">
        <f>IFERROR(__xludf.DUMMYFUNCTION("""COMPUTED_VALUE"""),"Communication")</f>
        <v>Communication</v>
      </c>
      <c r="F306" s="10" t="str">
        <f>IFERROR(__xludf.DUMMYFUNCTION("""COMPUTED_VALUE"""),"TED")</f>
        <v>TED</v>
      </c>
      <c r="G306" s="11">
        <f>IFERROR(__xludf.DUMMYFUNCTION("""COMPUTED_VALUE"""),12.0)</f>
        <v>12</v>
      </c>
      <c r="H306" s="11">
        <f>IFERROR(__xludf.DUMMYFUNCTION("""COMPUTED_VALUE"""),3.0)</f>
        <v>3</v>
      </c>
      <c r="I306" s="12" t="str">
        <f>IFERROR(__xludf.DUMMYFUNCTION("""COMPUTED_VALUE"""),"English, German")</f>
        <v>English, German</v>
      </c>
      <c r="J306" s="12" t="str">
        <f>IFERROR(__xludf.DUMMYFUNCTION("""COMPUTED_VALUE"""),"English")</f>
        <v>English</v>
      </c>
      <c r="K306" s="13">
        <f>IFERROR(__xludf.DUMMYFUNCTION("""COMPUTED_VALUE"""),44798.0)</f>
        <v>44798</v>
      </c>
      <c r="L306" s="14" t="str">
        <f>IFERROR(__xludf.DUMMYFUNCTION("""COMPUTED_VALUE"""),"https://masterplan.com/courses/warum-gespraeche-mit-fremden-gluecklich-machen")</f>
        <v>https://masterplan.com/courses/warum-gespraeche-mit-fremden-gluecklich-machen</v>
      </c>
    </row>
    <row r="307">
      <c r="A307" s="15" t="str">
        <f>IFERROR(__xludf.DUMMYFUNCTION("""COMPUTED_VALUE"""),"Was Unternehmen vom Online-Dating lernen können")</f>
        <v>Was Unternehmen vom Online-Dating lernen können</v>
      </c>
      <c r="B307" s="16" t="str">
        <f>IFERROR(__xludf.DUMMYFUNCTION("""COMPUTED_VALUE"""),"What Brands Can Learn From Online Dating")</f>
        <v>What Brands Can Learn From Online Dating</v>
      </c>
      <c r="C307" s="17" t="str">
        <f>IFERROR(__xludf.DUMMYFUNCTION("""COMPUTED_VALUE"""),"Wir fühlen uns zu Marken genauso hingezogen wie zu Menschen. Daher ist es wichtiger denn je, echte, bedeutsame und intime Beziehungen aufzubauen. Das ist der Schlüssel zum Wachstum. Aber wie kannst du deine Kunden dazu bringen, sich sofort in deine Marke "&amp;"zu verlieben?")</f>
        <v>Wir fühlen uns zu Marken genauso hingezogen wie zu Menschen. Daher ist es wichtiger denn je, echte, bedeutsame und intime Beziehungen aufzubauen. Das ist der Schlüssel zum Wachstum. Aber wie kannst du deine Kunden dazu bringen, sich sofort in deine Marke zu verlieben?</v>
      </c>
      <c r="D307" s="17" t="str">
        <f>IFERROR(__xludf.DUMMYFUNCTION("""COMPUTED_VALUE"""),"We are attracted to brands just like we're attracted to people. That’s why making real, meaningful, and intimate connections is more important than ever before and is the key to growth. But how can you make your customers fall deeply in love with your bra"&amp;"nd instantly?")</f>
        <v>We are attracted to brands just like we're attracted to people. That’s why making real, meaningful, and intimate connections is more important than ever before and is the key to growth. But how can you make your customers fall deeply in love with your brand instantly?</v>
      </c>
      <c r="E307" s="9" t="str">
        <f>IFERROR(__xludf.DUMMYFUNCTION("""COMPUTED_VALUE"""),"Global Citizenship")</f>
        <v>Global Citizenship</v>
      </c>
      <c r="F307" s="19" t="str">
        <f>IFERROR(__xludf.DUMMYFUNCTION("""COMPUTED_VALUE"""),"TED")</f>
        <v>TED</v>
      </c>
      <c r="G307" s="20">
        <f>IFERROR(__xludf.DUMMYFUNCTION("""COMPUTED_VALUE"""),11.0)</f>
        <v>11</v>
      </c>
      <c r="H307" s="20">
        <f>IFERROR(__xludf.DUMMYFUNCTION("""COMPUTED_VALUE"""),3.0)</f>
        <v>3</v>
      </c>
      <c r="I307" s="21" t="str">
        <f>IFERROR(__xludf.DUMMYFUNCTION("""COMPUTED_VALUE"""),"English, German")</f>
        <v>English, German</v>
      </c>
      <c r="J307" s="21" t="str">
        <f>IFERROR(__xludf.DUMMYFUNCTION("""COMPUTED_VALUE"""),"English")</f>
        <v>English</v>
      </c>
      <c r="K307" s="22">
        <f>IFERROR(__xludf.DUMMYFUNCTION("""COMPUTED_VALUE"""),44797.0)</f>
        <v>44797</v>
      </c>
      <c r="L307" s="23" t="str">
        <f>IFERROR(__xludf.DUMMYFUNCTION("""COMPUTED_VALUE"""),"https://masterplan.com/courses/was-unternehmen-vom-online-dating-lernen-koennen")</f>
        <v>https://masterplan.com/courses/was-unternehmen-vom-online-dating-lernen-koennen</v>
      </c>
    </row>
    <row r="308">
      <c r="A308" s="6" t="str">
        <f>IFERROR(__xludf.DUMMYFUNCTION("""COMPUTED_VALUE"""),"Wie Langeweile zu den hervorragendsten Ideen führen kann")</f>
        <v>Wie Langeweile zu den hervorragendsten Ideen führen kann</v>
      </c>
      <c r="B308" s="7" t="str">
        <f>IFERROR(__xludf.DUMMYFUNCTION("""COMPUTED_VALUE"""),"How Boredom Can Lead to Your Most Brilliant Ideas")</f>
        <v>How Boredom Can Lead to Your Most Brilliant Ideas</v>
      </c>
      <c r="C308" s="8" t="str">
        <f>IFERROR(__xludf.DUMMYFUNCTION("""COMPUTED_VALUE"""),"Wir alle versuchen, produktiv, kreativ, motiviert -  und busy zu sein. Aber was, wenn der Schlüssel zu unserem Potenzial im Nichtstun liegt? Erfahre mehr über die kreative Macht der Langeweile und warum dein Smartphone deine besten Ideen zunichte machen k"&amp;"önnte.")</f>
        <v>Wir alle versuchen, produktiv, kreativ, motiviert -  und busy zu sein. Aber was, wenn der Schlüssel zu unserem Potenzial im Nichtstun liegt? Erfahre mehr über die kreative Macht der Langeweile und warum dein Smartphone deine besten Ideen zunichte machen könnte.</v>
      </c>
      <c r="D308" s="8" t="str">
        <f>IFERROR(__xludf.DUMMYFUNCTION("""COMPUTED_VALUE"""),"We all try to stay productive, creative, motivated– and busy. But what if the key to unlocking our potential is actually doing nothing? Here you'll learn the data behind the creative power of boredom, and why your smartphone might just be killing your bes"&amp;"t ideas.")</f>
        <v>We all try to stay productive, creative, motivated– and busy. But what if the key to unlocking our potential is actually doing nothing? Here you'll learn the data behind the creative power of boredom, and why your smartphone might just be killing your best ideas.</v>
      </c>
      <c r="E308" s="18" t="str">
        <f>IFERROR(__xludf.DUMMYFUNCTION("""COMPUTED_VALUE"""),"Creativity and Innovation")</f>
        <v>Creativity and Innovation</v>
      </c>
      <c r="F308" s="10" t="str">
        <f>IFERROR(__xludf.DUMMYFUNCTION("""COMPUTED_VALUE"""),"TED")</f>
        <v>TED</v>
      </c>
      <c r="G308" s="11">
        <f>IFERROR(__xludf.DUMMYFUNCTION("""COMPUTED_VALUE"""),16.0)</f>
        <v>16</v>
      </c>
      <c r="H308" s="11">
        <f>IFERROR(__xludf.DUMMYFUNCTION("""COMPUTED_VALUE"""),1.0)</f>
        <v>1</v>
      </c>
      <c r="I308" s="12" t="str">
        <f>IFERROR(__xludf.DUMMYFUNCTION("""COMPUTED_VALUE"""),"English, German")</f>
        <v>English, German</v>
      </c>
      <c r="J308" s="12" t="str">
        <f>IFERROR(__xludf.DUMMYFUNCTION("""COMPUTED_VALUE"""),"English")</f>
        <v>English</v>
      </c>
      <c r="K308" s="13">
        <f>IFERROR(__xludf.DUMMYFUNCTION("""COMPUTED_VALUE"""),44797.0)</f>
        <v>44797</v>
      </c>
      <c r="L308" s="14" t="str">
        <f>IFERROR(__xludf.DUMMYFUNCTION("""COMPUTED_VALUE"""),"https://masterplan.com/courses/wie-langeweile-zu-den-hervorragendsten-ideen-fuehren-kann")</f>
        <v>https://masterplan.com/courses/wie-langeweile-zu-den-hervorragendsten-ideen-fuehren-kann</v>
      </c>
    </row>
    <row r="309">
      <c r="A309" s="15" t="str">
        <f>IFERROR(__xludf.DUMMYFUNCTION("""COMPUTED_VALUE"""),"Das Auge isst mit: Wie Farbe die Produktwahrnehmung beeinflusst")</f>
        <v>Das Auge isst mit: Wie Farbe die Produktwahrnehmung beeinflusst</v>
      </c>
      <c r="B309" s="16" t="str">
        <f>IFERROR(__xludf.DUMMYFUNCTION("""COMPUTED_VALUE"""),"Taste the Rainbow: How Color Influences Product Perception")</f>
        <v>Taste the Rainbow: How Color Influences Product Perception</v>
      </c>
      <c r="C309" s="17" t="str">
        <f>IFERROR(__xludf.DUMMYFUNCTION("""COMPUTED_VALUE"""),"Grün wirkt natürlich, Blau beruhigend - Farben beeinflussen unsere Stimmung. Aber unseren Geschmack auch? Erfahre, wie verschiedene Farben unsere Wahrnehnung von Geschmack und Konsistenz verändern können, damit du deine Produkte ins rechte Licht rücken ka"&amp;"nnst.")</f>
        <v>Grün wirkt natürlich, Blau beruhigend - Farben beeinflussen unsere Stimmung. Aber unseren Geschmack auch? Erfahre, wie verschiedene Farben unsere Wahrnehnung von Geschmack und Konsistenz verändern können, damit du deine Produkte ins rechte Licht rücken kannst.</v>
      </c>
      <c r="D309" s="17" t="str">
        <f>IFERROR(__xludf.DUMMYFUNCTION("""COMPUTED_VALUE"""),"Green is natural, blue is calming– we all know colors can affect our mood. But can colors affect our taste, too? Learn how different colors can change our perceptions of the taste and even the texture of what we're eating so you can put your products in t"&amp;"he right light.")</f>
        <v>Green is natural, blue is calming– we all know colors can affect our mood. But can colors affect our taste, too? Learn how different colors can change our perceptions of the taste and even the texture of what we're eating so you can put your products in the right light.</v>
      </c>
      <c r="E309" s="9" t="str">
        <f>IFERROR(__xludf.DUMMYFUNCTION("""COMPUTED_VALUE"""),"Global Citizenship")</f>
        <v>Global Citizenship</v>
      </c>
      <c r="F309" s="19" t="str">
        <f>IFERROR(__xludf.DUMMYFUNCTION("""COMPUTED_VALUE"""),"University of Auckland (Business School)")</f>
        <v>University of Auckland (Business School)</v>
      </c>
      <c r="G309" s="20">
        <f>IFERROR(__xludf.DUMMYFUNCTION("""COMPUTED_VALUE"""),12.0)</f>
        <v>12</v>
      </c>
      <c r="H309" s="20">
        <f>IFERROR(__xludf.DUMMYFUNCTION("""COMPUTED_VALUE"""),4.0)</f>
        <v>4</v>
      </c>
      <c r="I309" s="21" t="str">
        <f>IFERROR(__xludf.DUMMYFUNCTION("""COMPUTED_VALUE"""),"English, German")</f>
        <v>English, German</v>
      </c>
      <c r="J309" s="21" t="str">
        <f>IFERROR(__xludf.DUMMYFUNCTION("""COMPUTED_VALUE"""),"English")</f>
        <v>English</v>
      </c>
      <c r="K309" s="22">
        <f>IFERROR(__xludf.DUMMYFUNCTION("""COMPUTED_VALUE"""),44795.0)</f>
        <v>44795</v>
      </c>
      <c r="L309" s="23" t="str">
        <f>IFERROR(__xludf.DUMMYFUNCTION("""COMPUTED_VALUE"""),"https://masterplan.com/courses/das-auge-isst-mit-wie-farbe-die-produktwahrnehmung-beeinflusst")</f>
        <v>https://masterplan.com/courses/das-auge-isst-mit-wie-farbe-die-produktwahrnehmung-beeinflusst</v>
      </c>
    </row>
    <row r="310">
      <c r="A310" s="6" t="str">
        <f>IFERROR(__xludf.DUMMYFUNCTION("""COMPUTED_VALUE"""),"2 Fragen, um deine Leidenschaft zu entdecken und zum Beruf zu machen")</f>
        <v>2 Fragen, um deine Leidenschaft zu entdecken und zum Beruf zu machen</v>
      </c>
      <c r="B310" s="7" t="str">
        <f>IFERROR(__xludf.DUMMYFUNCTION("""COMPUTED_VALUE"""),"2 Questions to Uncover Your Passion - and Turn It into a Career")</f>
        <v>2 Questions to Uncover Your Passion - and Turn It into a Career</v>
      </c>
      <c r="C310" s="8" t="str">
        <f>IFERROR(__xludf.DUMMYFUNCTION("""COMPUTED_VALUE"""),"Was ist Leidenschaft und wie finde ich sie? Die Antwort: ""Leidenschaft ist eine Sammlung von Lebenserfahrungen, die dir Erfüllung geben."" Um deine Leidenschaft zu entdecken, musst du in dich gehen und dich fragen... Drück auf Play, um es herauszufinden!")</f>
        <v>Was ist Leidenschaft und wie finde ich sie? Die Antwort: "Leidenschaft ist eine Sammlung von Lebenserfahrungen, die dir Erfüllung geben." Um deine Leidenschaft zu entdecken, musst du in dich gehen und dich fragen... Drück auf Play, um es herauszufinden!</v>
      </c>
      <c r="D310" s="8" t="str">
        <f>IFERROR(__xludf.DUMMYFUNCTION("""COMPUTED_VALUE"""),"What's passion and how do I even find it? To give you the answer: “passion is a collection of your life experiences that give you a deeper sense of fulfillment.” To uncover your passion, you have to look inward and ask yourself… Well, press play to find o"&amp;"ut!")</f>
        <v>What's passion and how do I even find it? To give you the answer: “passion is a collection of your life experiences that give you a deeper sense of fulfillment.” To uncover your passion, you have to look inward and ask yourself… Well, press play to find out!</v>
      </c>
      <c r="E310" s="24" t="str">
        <f>IFERROR(__xludf.DUMMYFUNCTION("""COMPUTED_VALUE"""),"Emotional Intelligence")</f>
        <v>Emotional Intelligence</v>
      </c>
      <c r="F310" s="10" t="str">
        <f>IFERROR(__xludf.DUMMYFUNCTION("""COMPUTED_VALUE"""),"TED")</f>
        <v>TED</v>
      </c>
      <c r="G310" s="11">
        <f>IFERROR(__xludf.DUMMYFUNCTION("""COMPUTED_VALUE"""),11.0)</f>
        <v>11</v>
      </c>
      <c r="H310" s="11">
        <f>IFERROR(__xludf.DUMMYFUNCTION("""COMPUTED_VALUE"""),3.0)</f>
        <v>3</v>
      </c>
      <c r="I310" s="12" t="str">
        <f>IFERROR(__xludf.DUMMYFUNCTION("""COMPUTED_VALUE"""),"English, German")</f>
        <v>English, German</v>
      </c>
      <c r="J310" s="12" t="str">
        <f>IFERROR(__xludf.DUMMYFUNCTION("""COMPUTED_VALUE"""),"English")</f>
        <v>English</v>
      </c>
      <c r="K310" s="13">
        <f>IFERROR(__xludf.DUMMYFUNCTION("""COMPUTED_VALUE"""),44795.0)</f>
        <v>44795</v>
      </c>
      <c r="L310" s="14" t="str">
        <f>IFERROR(__xludf.DUMMYFUNCTION("""COMPUTED_VALUE"""),"https://masterplan.com/courses/2-fragen-um-deine-leidenschaft-zu-entdecken-und-zum-beruf-zu-machen")</f>
        <v>https://masterplan.com/courses/2-fragen-um-deine-leidenschaft-zu-entdecken-und-zum-beruf-zu-machen</v>
      </c>
    </row>
    <row r="311">
      <c r="A311" s="15" t="str">
        <f>IFERROR(__xludf.DUMMYFUNCTION("""COMPUTED_VALUE"""),"Warum gute Führungskräfte Humor ernst nehmen")</f>
        <v>Warum gute Führungskräfte Humor ernst nehmen</v>
      </c>
      <c r="B311" s="16" t="str">
        <f>IFERROR(__xludf.DUMMYFUNCTION("""COMPUTED_VALUE"""),"Why Great Leaders Take Humor Seriously")</f>
        <v>Why Great Leaders Take Humor Seriously</v>
      </c>
      <c r="C311" s="17" t="str">
        <f>IFERROR(__xludf.DUMMYFUNCTION("""COMPUTED_VALUE"""),"Führungskräfte müssen immer ernst bleiben? Nein (doch, oh)! Humor bringt nicht nur Mitarbeitende zum Lachen; eine Prise Spaß, eine bessere Mitarbeiterbeziehung und mehr Resilienz sind auch noch drin. Worauf wartest du? Lass uns gemeinsam die Stimmung aufl"&amp;"ockern!")</f>
        <v>Führungskräfte müssen immer ernst bleiben? Nein (doch, oh)! Humor bringt nicht nur Mitarbeitende zum Lachen; eine Prise Spaß, eine bessere Mitarbeiterbeziehung und mehr Resilienz sind auch noch drin. Worauf wartest du? Lass uns gemeinsam die Stimmung auflockern!</v>
      </c>
      <c r="D311" s="17" t="str">
        <f>IFERROR(__xludf.DUMMYFUNCTION("""COMPUTED_VALUE"""),"Leaders must always remain serious? No way Jose! Humor doesn't only make employees laugh; it also guarantees a dash of fun, better employee relations, and more resilience too. What are you waiting for? Let's lighten the mood together!")</f>
        <v>Leaders must always remain serious? No way Jose! Humor doesn't only make employees laugh; it also guarantees a dash of fun, better employee relations, and more resilience too. What are you waiting for? Let's lighten the mood together!</v>
      </c>
      <c r="E311" s="26" t="str">
        <f>IFERROR(__xludf.DUMMYFUNCTION("""COMPUTED_VALUE"""),"Collaboration and Leadership")</f>
        <v>Collaboration and Leadership</v>
      </c>
      <c r="F311" s="19" t="str">
        <f>IFERROR(__xludf.DUMMYFUNCTION("""COMPUTED_VALUE"""),"TED")</f>
        <v>TED</v>
      </c>
      <c r="G311" s="20">
        <f>IFERROR(__xludf.DUMMYFUNCTION("""COMPUTED_VALUE"""),10.0)</f>
        <v>10</v>
      </c>
      <c r="H311" s="20">
        <f>IFERROR(__xludf.DUMMYFUNCTION("""COMPUTED_VALUE"""),3.0)</f>
        <v>3</v>
      </c>
      <c r="I311" s="21" t="str">
        <f>IFERROR(__xludf.DUMMYFUNCTION("""COMPUTED_VALUE"""),"English, German")</f>
        <v>English, German</v>
      </c>
      <c r="J311" s="21" t="str">
        <f>IFERROR(__xludf.DUMMYFUNCTION("""COMPUTED_VALUE"""),"English")</f>
        <v>English</v>
      </c>
      <c r="K311" s="22">
        <f>IFERROR(__xludf.DUMMYFUNCTION("""COMPUTED_VALUE"""),44792.0)</f>
        <v>44792</v>
      </c>
      <c r="L311" s="23" t="str">
        <f>IFERROR(__xludf.DUMMYFUNCTION("""COMPUTED_VALUE"""),"https://masterplan.com/courses/warum-gute-fuehrungskraefte-humor-ernst-nehmen")</f>
        <v>https://masterplan.com/courses/warum-gute-fuehrungskraefte-humor-ernst-nehmen</v>
      </c>
    </row>
    <row r="312">
      <c r="A312" s="6" t="str">
        <f>IFERROR(__xludf.DUMMYFUNCTION("""COMPUTED_VALUE"""),"[OFFLINE] Ein Schritt Richtung Zukunft: Das Potenzial von KI")</f>
        <v>[OFFLINE] Ein Schritt Richtung Zukunft: Das Potenzial von KI</v>
      </c>
      <c r="B312" s="7" t="str">
        <f>IFERROR(__xludf.DUMMYFUNCTION("""COMPUTED_VALUE"""),"[OFFLINE] AI Isn't As Smart As You Think - But It Could Be")</f>
        <v>[OFFLINE] AI Isn't As Smart As You Think - But It Could Be</v>
      </c>
      <c r="C312" s="8" t="str">
        <f>IFERROR(__xludf.DUMMYFUNCTION("""COMPUTED_VALUE"""),"Ein großer Schritt für die Informatik, ein riesiger Schritt Richtung Zukunft: Schon heute erzielt KI große Leistungen. Aber was wäre, wenn KI ein tieferes Verständnis der Welt erlangen würde? Erfahre die Potenziale zukünftiger KI und wie man sie entwickel"&amp;"t! ")</f>
        <v>Ein großer Schritt für die Informatik, ein riesiger Schritt Richtung Zukunft: Schon heute erzielt KI große Leistungen. Aber was wäre, wenn KI ein tieferes Verständnis der Welt erlangen würde? Erfahre die Potenziale zukünftiger KI und wie man sie entwickelt! </v>
      </c>
      <c r="D312" s="8" t="str">
        <f>IFERROR(__xludf.DUMMYFUNCTION("""COMPUTED_VALUE"""),"A big step for computer science, a giant leap toward the future: AI is already achieving great things today. But what if AI were to gain a deeper understanding of the world? Learn about the potential of AI and how to develop it!")</f>
        <v>A big step for computer science, a giant leap toward the future: AI is already achieving great things today. But what if AI were to gain a deeper understanding of the world? Learn about the potential of AI and how to develop it!</v>
      </c>
      <c r="E312" s="25" t="str">
        <f>IFERROR(__xludf.DUMMYFUNCTION("""COMPUTED_VALUE"""),"Digital Literacy")</f>
        <v>Digital Literacy</v>
      </c>
      <c r="F312" s="10" t="str">
        <f>IFERROR(__xludf.DUMMYFUNCTION("""COMPUTED_VALUE"""),"TED")</f>
        <v>TED</v>
      </c>
      <c r="G312" s="11">
        <f>IFERROR(__xludf.DUMMYFUNCTION("""COMPUTED_VALUE"""),19.0)</f>
        <v>19</v>
      </c>
      <c r="H312" s="11">
        <f>IFERROR(__xludf.DUMMYFUNCTION("""COMPUTED_VALUE"""),3.0)</f>
        <v>3</v>
      </c>
      <c r="I312" s="12" t="str">
        <f>IFERROR(__xludf.DUMMYFUNCTION("""COMPUTED_VALUE"""),"English, German")</f>
        <v>English, German</v>
      </c>
      <c r="J312" s="12" t="str">
        <f>IFERROR(__xludf.DUMMYFUNCTION("""COMPUTED_VALUE"""),"English")</f>
        <v>English</v>
      </c>
      <c r="K312" s="13">
        <f>IFERROR(__xludf.DUMMYFUNCTION("""COMPUTED_VALUE"""),44791.0)</f>
        <v>44791</v>
      </c>
      <c r="L312" s="14" t="str">
        <f>IFERROR(__xludf.DUMMYFUNCTION("""COMPUTED_VALUE"""),"https://masterplan.com/courses/ein-schritt-richtung-zukunft-das-potenzial-von-ki")</f>
        <v>https://masterplan.com/courses/ein-schritt-richtung-zukunft-das-potenzial-von-ki</v>
      </c>
    </row>
    <row r="313">
      <c r="A313" s="15" t="str">
        <f>IFERROR(__xludf.DUMMYFUNCTION("""COMPUTED_VALUE"""),"Mit drei Fragen zu mehr Widerstandskraft")</f>
        <v>Mit drei Fragen zu mehr Widerstandskraft</v>
      </c>
      <c r="B313" s="16" t="str">
        <f>IFERROR(__xludf.DUMMYFUNCTION("""COMPUTED_VALUE"""),"3 Questions to Build Resilience - and Change the World")</f>
        <v>3 Questions to Build Resilience - and Change the World</v>
      </c>
      <c r="C313" s="17" t="str">
        <f>IFERROR(__xludf.DUMMYFUNCTION("""COMPUTED_VALUE"""),"Mach dich eins mit Allem: Achtsames Gehen und drei Fragen helfen dir, im Moment zu sein und die Welt bewusst wahrzunehmen. Die zen-buddhistische Nonne Wahre Hingabe hilft dir, deine innere Kraft zu wecken und deine Resilienz zu stärken - für mehr inneren "&amp;"Frieden!")</f>
        <v>Mach dich eins mit Allem: Achtsames Gehen und drei Fragen helfen dir, im Moment zu sein und die Welt bewusst wahrzunehmen. Die zen-buddhistische Nonne Wahre Hingabe hilft dir, deine innere Kraft zu wecken und deine Resilienz zu stärken - für mehr inneren Frieden!</v>
      </c>
      <c r="D313" s="17" t="str">
        <f>IFERROR(__xludf.DUMMYFUNCTION("""COMPUTED_VALUE"""),"Be one with everything: Mindful walking and three questions that help you be in the moment and perceive the world consciously. The Zen Buddhist nun Sister True Dedication helps you waken your inner strength and strengthen your resilience - for more inner "&amp;"peace!")</f>
        <v>Be one with everything: Mindful walking and three questions that help you be in the moment and perceive the world consciously. The Zen Buddhist nun Sister True Dedication helps you waken your inner strength and strengthen your resilience - for more inner peace!</v>
      </c>
      <c r="E313" s="24" t="str">
        <f>IFERROR(__xludf.DUMMYFUNCTION("""COMPUTED_VALUE"""),"Emotional Intelligence")</f>
        <v>Emotional Intelligence</v>
      </c>
      <c r="F313" s="19" t="str">
        <f>IFERROR(__xludf.DUMMYFUNCTION("""COMPUTED_VALUE"""),"TED")</f>
        <v>TED</v>
      </c>
      <c r="G313" s="20">
        <f>IFERROR(__xludf.DUMMYFUNCTION("""COMPUTED_VALUE"""),19.0)</f>
        <v>19</v>
      </c>
      <c r="H313" s="20">
        <f>IFERROR(__xludf.DUMMYFUNCTION("""COMPUTED_VALUE"""),3.0)</f>
        <v>3</v>
      </c>
      <c r="I313" s="21" t="str">
        <f>IFERROR(__xludf.DUMMYFUNCTION("""COMPUTED_VALUE"""),"English, German")</f>
        <v>English, German</v>
      </c>
      <c r="J313" s="21" t="str">
        <f>IFERROR(__xludf.DUMMYFUNCTION("""COMPUTED_VALUE"""),"English")</f>
        <v>English</v>
      </c>
      <c r="K313" s="22">
        <f>IFERROR(__xludf.DUMMYFUNCTION("""COMPUTED_VALUE"""),44791.0)</f>
        <v>44791</v>
      </c>
      <c r="L313" s="23" t="str">
        <f>IFERROR(__xludf.DUMMYFUNCTION("""COMPUTED_VALUE"""),"https://masterplan.com/courses/mit-drei-fragen-zu-mehr-widerstandskraft")</f>
        <v>https://masterplan.com/courses/mit-drei-fragen-zu-mehr-widerstandskraft</v>
      </c>
    </row>
    <row r="314">
      <c r="A314" s="6" t="str">
        <f>IFERROR(__xludf.DUMMYFUNCTION("""COMPUTED_VALUE"""),"Ziellos, matt und leer? Komm wieder in den Flow!")</f>
        <v>Ziellos, matt und leer? Komm wieder in den Flow!</v>
      </c>
      <c r="B314" s="7" t="str">
        <f>IFERROR(__xludf.DUMMYFUNCTION("""COMPUTED_VALUE"""),"How to Stop Languishing and Start Finding Flow")</f>
        <v>How to Stop Languishing and Start Finding Flow</v>
      </c>
      <c r="C314" s="8" t="str">
        <f>IFERROR(__xludf.DUMMYFUNCTION("""COMPUTED_VALUE"""),"Na, hast du gestern auch eine Serie geschaut, ohne genau aufzupassen? Fühlt sich dein Alltag “ziellos” an? Das Gefühl “Languishing” ist heutzutage ein Lebensgefühl. Erfahre in diesem TED-Talk, wie du wieder in den Flow kommst und wie Mario Cart dir dabei "&amp;"hilft.")</f>
        <v>Na, hast du gestern auch eine Serie geschaut, ohne genau aufzupassen? Fühlt sich dein Alltag “ziellos” an? Das Gefühl “Languishing” ist heutzutage ein Lebensgefühl. Erfahre in diesem TED-Talk, wie du wieder in den Flow kommst und wie Mario Cart dir dabei hilft.</v>
      </c>
      <c r="D314" s="8" t="str">
        <f>IFERROR(__xludf.DUMMYFUNCTION("""COMPUTED_VALUE"""),"Well, did you also watch a series yesterday without paying close attention? Does your everyday life feel ""aimless""? Languishing is a way of life these days. In this TED Talk, learn how to get back into the flow and how Mario Cart can help.")</f>
        <v>Well, did you also watch a series yesterday without paying close attention? Does your everyday life feel "aimless"? Languishing is a way of life these days. In this TED Talk, learn how to get back into the flow and how Mario Cart can help.</v>
      </c>
      <c r="E314" s="24" t="str">
        <f>IFERROR(__xludf.DUMMYFUNCTION("""COMPUTED_VALUE"""),"Emotional Intelligence")</f>
        <v>Emotional Intelligence</v>
      </c>
      <c r="F314" s="10" t="str">
        <f>IFERROR(__xludf.DUMMYFUNCTION("""COMPUTED_VALUE"""),"TED")</f>
        <v>TED</v>
      </c>
      <c r="G314" s="11">
        <f>IFERROR(__xludf.DUMMYFUNCTION("""COMPUTED_VALUE"""),16.0)</f>
        <v>16</v>
      </c>
      <c r="H314" s="11">
        <f>IFERROR(__xludf.DUMMYFUNCTION("""COMPUTED_VALUE"""),3.0)</f>
        <v>3</v>
      </c>
      <c r="I314" s="12" t="str">
        <f>IFERROR(__xludf.DUMMYFUNCTION("""COMPUTED_VALUE"""),"English, German")</f>
        <v>English, German</v>
      </c>
      <c r="J314" s="12" t="str">
        <f>IFERROR(__xludf.DUMMYFUNCTION("""COMPUTED_VALUE"""),"English")</f>
        <v>English</v>
      </c>
      <c r="K314" s="13">
        <f>IFERROR(__xludf.DUMMYFUNCTION("""COMPUTED_VALUE"""),44791.0)</f>
        <v>44791</v>
      </c>
      <c r="L314" s="14" t="str">
        <f>IFERROR(__xludf.DUMMYFUNCTION("""COMPUTED_VALUE"""),"https://masterplan.com/courses/ziellos-matt-und-leer-komm-wieder-in-den-flow")</f>
        <v>https://masterplan.com/courses/ziellos-matt-und-leer-komm-wieder-in-den-flow</v>
      </c>
    </row>
    <row r="315">
      <c r="A315" s="15" t="str">
        <f>IFERROR(__xludf.DUMMYFUNCTION("""COMPUTED_VALUE"""),"[OFFLINE] Siri, Alexa, Google: Was kommt als Nächstes?")</f>
        <v>[OFFLINE] Siri, Alexa, Google: Was kommt als Nächstes?</v>
      </c>
      <c r="B315" s="16" t="str">
        <f>IFERROR(__xludf.DUMMYFUNCTION("""COMPUTED_VALUE"""),"[OFFLINE] Siri, Alexa, Google ... What Comes Next?")</f>
        <v>[OFFLINE] Siri, Alexa, Google ... What Comes Next?</v>
      </c>
      <c r="C315" s="17" t="str">
        <f>IFERROR(__xludf.DUMMYFUNCTION("""COMPUTED_VALUE"""),"“Alexa, was hast du zukünftig drauf?” Eine Frage, die wir unseren Smart-Devices selten stellen, obwohl sie ein fester Bestandteil unseres Lebens sind. Neugierig auf die Antwort? Erfahre in diesem TED-Talk mehr über das enorme Potenzial zukünftiger Spracha"&amp;"ssistenten!")</f>
        <v>“Alexa, was hast du zukünftig drauf?” Eine Frage, die wir unseren Smart-Devices selten stellen, obwohl sie ein fester Bestandteil unseres Lebens sind. Neugierig auf die Antwort? Erfahre in diesem TED-Talk mehr über das enorme Potenzial zukünftiger Sprachassistenten!</v>
      </c>
      <c r="D315" s="17" t="str">
        <f>IFERROR(__xludf.DUMMYFUNCTION("""COMPUTED_VALUE"""),"""Alexa, what will you be able to do in the future?"" It's a question we rarely ask our smart devices, even though they're an integral part of our lives. Curious about the answer? Learn more about the enormous potential of future voice assistants in this "&amp;"TED Talk!")</f>
        <v>"Alexa, what will you be able to do in the future?" It's a question we rarely ask our smart devices, even though they're an integral part of our lives. Curious about the answer? Learn more about the enormous potential of future voice assistants in this TED Talk!</v>
      </c>
      <c r="E315" s="25" t="str">
        <f>IFERROR(__xludf.DUMMYFUNCTION("""COMPUTED_VALUE"""),"Digital Literacy")</f>
        <v>Digital Literacy</v>
      </c>
      <c r="F315" s="19" t="str">
        <f>IFERROR(__xludf.DUMMYFUNCTION("""COMPUTED_VALUE"""),"TED")</f>
        <v>TED</v>
      </c>
      <c r="G315" s="20">
        <f>IFERROR(__xludf.DUMMYFUNCTION("""COMPUTED_VALUE"""),11.0)</f>
        <v>11</v>
      </c>
      <c r="H315" s="20">
        <f>IFERROR(__xludf.DUMMYFUNCTION("""COMPUTED_VALUE"""),3.0)</f>
        <v>3</v>
      </c>
      <c r="I315" s="21" t="str">
        <f>IFERROR(__xludf.DUMMYFUNCTION("""COMPUTED_VALUE"""),"English, German")</f>
        <v>English, German</v>
      </c>
      <c r="J315" s="21" t="str">
        <f>IFERROR(__xludf.DUMMYFUNCTION("""COMPUTED_VALUE"""),"English")</f>
        <v>English</v>
      </c>
      <c r="K315" s="22">
        <f>IFERROR(__xludf.DUMMYFUNCTION("""COMPUTED_VALUE"""),44791.0)</f>
        <v>44791</v>
      </c>
      <c r="L315" s="23" t="str">
        <f>IFERROR(__xludf.DUMMYFUNCTION("""COMPUTED_VALUE"""),"https://masterplan.com/courses/siri-alexa-google-was-kommt-als-naechstes")</f>
        <v>https://masterplan.com/courses/siri-alexa-google-was-kommt-als-naechstes</v>
      </c>
    </row>
    <row r="316">
      <c r="A316" s="6" t="str">
        <f>IFERROR(__xludf.DUMMYFUNCTION("""COMPUTED_VALUE"""),"[OFFLINE] Der Weg zu mehr Gleichberechtigung")</f>
        <v>[OFFLINE] Der Weg zu mehr Gleichberechtigung</v>
      </c>
      <c r="B316" s="7" t="str">
        <f>IFERROR(__xludf.DUMMYFUNCTION("""COMPUTED_VALUE"""),"[OFFLINE] 3 Things Men Can Do to Promote Gender Equity")</f>
        <v>[OFFLINE] 3 Things Men Can Do to Promote Gender Equity</v>
      </c>
      <c r="C316" s="8" t="str">
        <f>IFERROR(__xludf.DUMMYFUNCTION("""COMPUTED_VALUE"""),"Wollen wir nicht alle gleich behandelt werden? Das traditionelle Männerbild verhindert jedoch Gleichstellung. In diesem Call-to-Action zeigt Jimmie Briggs, wie männliche Archetypen die Gesellschaft beeinflussen und was Männer für mehr Gleichberechtigung t"&amp;"un können.")</f>
        <v>Wollen wir nicht alle gleich behandelt werden? Das traditionelle Männerbild verhindert jedoch Gleichstellung. In diesem Call-to-Action zeigt Jimmie Briggs, wie männliche Archetypen die Gesellschaft beeinflussen und was Männer für mehr Gleichberechtigung tun können.</v>
      </c>
      <c r="D316" s="8" t="str">
        <f>IFERROR(__xludf.DUMMYFUNCTION("""COMPUTED_VALUE"""),"Don't we all want to be treated equally? But the traditional image of men prevents equality. In this call-to-action, Jimmie Briggs shows how male archetypes influence society and what men can do for more equality.")</f>
        <v>Don't we all want to be treated equally? But the traditional image of men prevents equality. In this call-to-action, Jimmie Briggs shows how male archetypes influence society and what men can do for more equality.</v>
      </c>
      <c r="E316" s="9" t="str">
        <f>IFERROR(__xludf.DUMMYFUNCTION("""COMPUTED_VALUE"""),"Global Citizenship")</f>
        <v>Global Citizenship</v>
      </c>
      <c r="F316" s="10" t="str">
        <f>IFERROR(__xludf.DUMMYFUNCTION("""COMPUTED_VALUE"""),"TED")</f>
        <v>TED</v>
      </c>
      <c r="G316" s="11">
        <f>IFERROR(__xludf.DUMMYFUNCTION("""COMPUTED_VALUE"""),9.0)</f>
        <v>9</v>
      </c>
      <c r="H316" s="11">
        <f>IFERROR(__xludf.DUMMYFUNCTION("""COMPUTED_VALUE"""),3.0)</f>
        <v>3</v>
      </c>
      <c r="I316" s="12" t="str">
        <f>IFERROR(__xludf.DUMMYFUNCTION("""COMPUTED_VALUE"""),"English, German")</f>
        <v>English, German</v>
      </c>
      <c r="J316" s="12" t="str">
        <f>IFERROR(__xludf.DUMMYFUNCTION("""COMPUTED_VALUE"""),"English")</f>
        <v>English</v>
      </c>
      <c r="K316" s="13">
        <f>IFERROR(__xludf.DUMMYFUNCTION("""COMPUTED_VALUE"""),44791.0)</f>
        <v>44791</v>
      </c>
      <c r="L316" s="14" t="str">
        <f>IFERROR(__xludf.DUMMYFUNCTION("""COMPUTED_VALUE"""),"https://masterplan.com/courses/der-weg-zu-mehr-gleichberechtigung")</f>
        <v>https://masterplan.com/courses/der-weg-zu-mehr-gleichberechtigung</v>
      </c>
    </row>
    <row r="317">
      <c r="A317" s="15" t="str">
        <f>IFERROR(__xludf.DUMMYFUNCTION("""COMPUTED_VALUE"""),"Neuigkeiten in KI &amp; Tech August III")</f>
        <v>Neuigkeiten in KI &amp; Tech August III</v>
      </c>
      <c r="B317" s="16" t="str">
        <f>IFERROR(__xludf.DUMMYFUNCTION("""COMPUTED_VALUE"""),"News in AI &amp; Tech August III")</f>
        <v>News in AI &amp; Tech August III</v>
      </c>
      <c r="C317" s="17" t="str">
        <f>IFERROR(__xludf.DUMMYFUNCTION("""COMPUTED_VALUE"""),"KI-Bildergeneratoren ohne ethische Absicherung, Gründer von WeWork erhält 350 Millionen Dollar, um den Wohnungsmarkt zu verändern, Ethereum fusioniert - was bedeutet das für den Kryptomarkt? - das sind die neusten Themen in seinem wöchentlichen Tech-Updat"&amp;"e von Gianluca")</f>
        <v>KI-Bildergeneratoren ohne ethische Absicherung, Gründer von WeWork erhält 350 Millionen Dollar, um den Wohnungsmarkt zu verändern, Ethereum fusioniert - was bedeutet das für den Kryptomarkt? - das sind die neusten Themen in seinem wöchentlichen Tech-Update von Gianluca</v>
      </c>
      <c r="D317" s="17" t="str">
        <f>IFERROR(__xludf.DUMMYFUNCTION("""COMPUTED_VALUE"""),"AI-image generation tool with no ethics safeguard , Founder of WeWork gets $350M to disrupt housing, Ethereum is merging - what does this mean for the Crypto market? - Gianluca’s topics of his weekly tech-update.")</f>
        <v>AI-image generation tool with no ethics safeguard , Founder of WeWork gets $350M to disrupt housing, Ethereum is merging - what does this mean for the Crypto market? - Gianluca’s topics of his weekly tech-update.</v>
      </c>
      <c r="E317" s="25" t="str">
        <f>IFERROR(__xludf.DUMMYFUNCTION("""COMPUTED_VALUE"""),"Digital Literacy")</f>
        <v>Digital Literacy</v>
      </c>
      <c r="F317" s="19" t="str">
        <f>IFERROR(__xludf.DUMMYFUNCTION("""COMPUTED_VALUE"""),"AI Academy - Gianluca Mauro")</f>
        <v>AI Academy - Gianluca Mauro</v>
      </c>
      <c r="G317" s="20">
        <f>IFERROR(__xludf.DUMMYFUNCTION("""COMPUTED_VALUE"""),15.0)</f>
        <v>15</v>
      </c>
      <c r="H317" s="20">
        <f>IFERROR(__xludf.DUMMYFUNCTION("""COMPUTED_VALUE"""),1.0)</f>
        <v>1</v>
      </c>
      <c r="I317" s="21" t="str">
        <f>IFERROR(__xludf.DUMMYFUNCTION("""COMPUTED_VALUE"""),"English, German")</f>
        <v>English, German</v>
      </c>
      <c r="J317" s="21" t="str">
        <f>IFERROR(__xludf.DUMMYFUNCTION("""COMPUTED_VALUE"""),"English")</f>
        <v>English</v>
      </c>
      <c r="K317" s="22">
        <f>IFERROR(__xludf.DUMMYFUNCTION("""COMPUTED_VALUE"""),44791.0)</f>
        <v>44791</v>
      </c>
      <c r="L317" s="23" t="str">
        <f>IFERROR(__xludf.DUMMYFUNCTION("""COMPUTED_VALUE"""),"https://masterplan.com/courses/tech-updates-august-iii")</f>
        <v>https://masterplan.com/courses/tech-updates-august-iii</v>
      </c>
    </row>
    <row r="318">
      <c r="A318" s="6" t="str">
        <f>IFERROR(__xludf.DUMMYFUNCTION("""COMPUTED_VALUE"""),"Inclusive Leadership IV: Den Wandel gestalten")</f>
        <v>Inclusive Leadership IV: Den Wandel gestalten</v>
      </c>
      <c r="B318" s="7" t="str">
        <f>IFERROR(__xludf.DUMMYFUNCTION("""COMPUTED_VALUE"""),"Inclusive Leadership IV: Be the Change")</f>
        <v>Inclusive Leadership IV: Be the Change</v>
      </c>
      <c r="C318" s="8" t="str">
        <f>IFERROR(__xludf.DUMMYFUNCTION("""COMPUTED_VALUE"""),"Konflikte, neue Gesprächssituationen oder auch der Umbruch bestehender Strukturen: Der Wandel zu mehr Inklusion und Diversität bringt Herausforderungen mit sich. Hier erhältst du wertvolle Tipps und Tools, mit den du als Inclusive Leader:in auf Kurs bleib"&amp;"st!")</f>
        <v>Konflikte, neue Gesprächssituationen oder auch der Umbruch bestehender Strukturen: Der Wandel zu mehr Inklusion und Diversität bringt Herausforderungen mit sich. Hier erhältst du wertvolle Tipps und Tools, mit den du als Inclusive Leader:in auf Kurs bleibst!</v>
      </c>
      <c r="D318" s="8" t="str">
        <f>IFERROR(__xludf.DUMMYFUNCTION("""COMPUTED_VALUE"""),"Conflicts, debates or even the upheaval of existing structures: The change to more inclusion and diversity is challenging. Here you will find valuable tips and tools to help you stay on track as an inclusive leader!")</f>
        <v>Conflicts, debates or even the upheaval of existing structures: The change to more inclusion and diversity is challenging. Here you will find valuable tips and tools to help you stay on track as an inclusive leader!</v>
      </c>
      <c r="E318" s="24" t="str">
        <f>IFERROR(__xludf.DUMMYFUNCTION("""COMPUTED_VALUE"""),"Emotional Intelligence")</f>
        <v>Emotional Intelligence</v>
      </c>
      <c r="F318" s="10" t="str">
        <f>IFERROR(__xludf.DUMMYFUNCTION("""COMPUTED_VALUE"""),"Leaders von Morgen")</f>
        <v>Leaders von Morgen</v>
      </c>
      <c r="G318" s="11">
        <f>IFERROR(__xludf.DUMMYFUNCTION("""COMPUTED_VALUE"""),60.0)</f>
        <v>60</v>
      </c>
      <c r="H318" s="11">
        <f>IFERROR(__xludf.DUMMYFUNCTION("""COMPUTED_VALUE"""),23.0)</f>
        <v>23</v>
      </c>
      <c r="I318" s="12" t="str">
        <f>IFERROR(__xludf.DUMMYFUNCTION("""COMPUTED_VALUE"""),"English, German")</f>
        <v>English, German</v>
      </c>
      <c r="J318" s="12" t="str">
        <f>IFERROR(__xludf.DUMMYFUNCTION("""COMPUTED_VALUE"""),"German")</f>
        <v>German</v>
      </c>
      <c r="K318" s="13">
        <f>IFERROR(__xludf.DUMMYFUNCTION("""COMPUTED_VALUE"""),44788.0)</f>
        <v>44788</v>
      </c>
      <c r="L318" s="14" t="str">
        <f>IFERROR(__xludf.DUMMYFUNCTION("""COMPUTED_VALUE"""),"https://masterplan.com/courses/inclusive-leadership-iv-den-wandel-gestalten")</f>
        <v>https://masterplan.com/courses/inclusive-leadership-iv-den-wandel-gestalten</v>
      </c>
    </row>
    <row r="319">
      <c r="A319" s="15" t="str">
        <f>IFERROR(__xludf.DUMMYFUNCTION("""COMPUTED_VALUE"""),"Inclusive Leadership III: Gemeinsam statt einsam")</f>
        <v>Inclusive Leadership III: Gemeinsam statt einsam</v>
      </c>
      <c r="B319" s="16" t="str">
        <f>IFERROR(__xludf.DUMMYFUNCTION("""COMPUTED_VALUE"""),"Inclusive Leadership III: Teamwork Makes the Dream Work")</f>
        <v>Inclusive Leadership III: Teamwork Makes the Dream Work</v>
      </c>
      <c r="C319" s="17" t="str">
        <f>IFERROR(__xludf.DUMMYFUNCTION("""COMPUTED_VALUE"""),"Was sollten Führungskrafte tun, um Inklusion zu fördern? Eigene Biases überwinden und den Dialog suchen: Dadurch kann sich jede Person einbringen. Aber wo anfangen? Dieser Kurs zeigt dir, wie du Biases erkennst sowie als Führungskraft Inklusion und Teamwo"&amp;"rk förderst!")</f>
        <v>Was sollten Führungskrafte tun, um Inklusion zu fördern? Eigene Biases überwinden und den Dialog suchen: Dadurch kann sich jede Person einbringen. Aber wo anfangen? Dieser Kurs zeigt dir, wie du Biases erkennst sowie als Führungskraft Inklusion und Teamwork förderst!</v>
      </c>
      <c r="D319" s="17" t="str">
        <f>IFERROR(__xludf.DUMMYFUNCTION("""COMPUTED_VALUE"""),"How can leaders promote inclusion? Overcome your own biases and seek dialog: This allows every employee to contribute. But where to start? This course shows you how to recognize biases and promote inclusion and teamwork as a leader!")</f>
        <v>How can leaders promote inclusion? Overcome your own biases and seek dialog: This allows every employee to contribute. But where to start? This course shows you how to recognize biases and promote inclusion and teamwork as a leader!</v>
      </c>
      <c r="E319" s="24" t="str">
        <f>IFERROR(__xludf.DUMMYFUNCTION("""COMPUTED_VALUE"""),"Emotional Intelligence")</f>
        <v>Emotional Intelligence</v>
      </c>
      <c r="F319" s="19" t="str">
        <f>IFERROR(__xludf.DUMMYFUNCTION("""COMPUTED_VALUE"""),"Leaders von Morgen")</f>
        <v>Leaders von Morgen</v>
      </c>
      <c r="G319" s="20">
        <f>IFERROR(__xludf.DUMMYFUNCTION("""COMPUTED_VALUE"""),69.0)</f>
        <v>69</v>
      </c>
      <c r="H319" s="20">
        <f>IFERROR(__xludf.DUMMYFUNCTION("""COMPUTED_VALUE"""),27.0)</f>
        <v>27</v>
      </c>
      <c r="I319" s="21" t="str">
        <f>IFERROR(__xludf.DUMMYFUNCTION("""COMPUTED_VALUE"""),"English, German")</f>
        <v>English, German</v>
      </c>
      <c r="J319" s="21" t="str">
        <f>IFERROR(__xludf.DUMMYFUNCTION("""COMPUTED_VALUE"""),"German")</f>
        <v>German</v>
      </c>
      <c r="K319" s="22">
        <f>IFERROR(__xludf.DUMMYFUNCTION("""COMPUTED_VALUE"""),44784.0)</f>
        <v>44784</v>
      </c>
      <c r="L319" s="23" t="str">
        <f>IFERROR(__xludf.DUMMYFUNCTION("""COMPUTED_VALUE"""),"https://masterplan.com/courses/inclusive-leadership-iii-gemeinsam-statt-einsam")</f>
        <v>https://masterplan.com/courses/inclusive-leadership-iii-gemeinsam-statt-einsam</v>
      </c>
    </row>
    <row r="320">
      <c r="A320" s="6" t="str">
        <f>IFERROR(__xludf.DUMMYFUNCTION("""COMPUTED_VALUE"""),"Vom Feld ins Regal: Die Lebensmittelkette der Zukunft")</f>
        <v>Vom Feld ins Regal: Die Lebensmittelkette der Zukunft</v>
      </c>
      <c r="B320" s="7" t="str">
        <f>IFERROR(__xludf.DUMMYFUNCTION("""COMPUTED_VALUE"""),"From Seed to Shelf: The Food Supply Chain of the Future")</f>
        <v>From Seed to Shelf: The Food Supply Chain of the Future</v>
      </c>
      <c r="C320" s="8" t="str">
        <f>IFERROR(__xludf.DUMMYFUNCTION("""COMPUTED_VALUE"""),"Unser Essen hat einen langen Weg hinter sich, bevor es auf unserem Teller landet. Wie sieht dieser Prozess heute aus, und welchen Einfluss haben technologische Fortschritte auf diese Lieferkette? Melissa King erklärt gemeinsam mit IBM die revolutionären T"&amp;"echnologien.")</f>
        <v>Unser Essen hat einen langen Weg hinter sich, bevor es auf unserem Teller landet. Wie sieht dieser Prozess heute aus, und welchen Einfluss haben technologische Fortschritte auf diese Lieferkette? Melissa King erklärt gemeinsam mit IBM die revolutionären Technologien.</v>
      </c>
      <c r="D320" s="8" t="str">
        <f>IFERROR(__xludf.DUMMYFUNCTION("""COMPUTED_VALUE"""),"Our food goes a long way before it ends up on our plate. What does this process look like today, and what affect do technological advancements have on this supply chain? Top Chef winner Melissa King teams up with IBM to explain the food tech that's changi"&amp;"ng the game.")</f>
        <v>Our food goes a long way before it ends up on our plate. What does this process look like today, and what affect do technological advancements have on this supply chain? Top Chef winner Melissa King teams up with IBM to explain the food tech that's changing the game.</v>
      </c>
      <c r="E320" s="9" t="str">
        <f>IFERROR(__xludf.DUMMYFUNCTION("""COMPUTED_VALUE"""),"Global Citizenship")</f>
        <v>Global Citizenship</v>
      </c>
      <c r="F320" s="10" t="str">
        <f>IFERROR(__xludf.DUMMYFUNCTION("""COMPUTED_VALUE"""),"IBM Research - Melissa King")</f>
        <v>IBM Research - Melissa King</v>
      </c>
      <c r="G320" s="11">
        <f>IFERROR(__xludf.DUMMYFUNCTION("""COMPUTED_VALUE"""),11.0)</f>
        <v>11</v>
      </c>
      <c r="H320" s="11">
        <f>IFERROR(__xludf.DUMMYFUNCTION("""COMPUTED_VALUE"""),9.0)</f>
        <v>9</v>
      </c>
      <c r="I320" s="12" t="str">
        <f>IFERROR(__xludf.DUMMYFUNCTION("""COMPUTED_VALUE"""),"English, German")</f>
        <v>English, German</v>
      </c>
      <c r="J320" s="12" t="str">
        <f>IFERROR(__xludf.DUMMYFUNCTION("""COMPUTED_VALUE"""),"English")</f>
        <v>English</v>
      </c>
      <c r="K320" s="13">
        <f>IFERROR(__xludf.DUMMYFUNCTION("""COMPUTED_VALUE"""),44784.0)</f>
        <v>44784</v>
      </c>
      <c r="L320" s="14" t="str">
        <f>IFERROR(__xludf.DUMMYFUNCTION("""COMPUTED_VALUE"""),"https://masterplan.com/courses/vom-feld-ins-regal-die-lebensmittelkette-der-zukunft")</f>
        <v>https://masterplan.com/courses/vom-feld-ins-regal-die-lebensmittelkette-der-zukunft</v>
      </c>
    </row>
    <row r="321">
      <c r="A321" s="15" t="str">
        <f>IFERROR(__xludf.DUMMYFUNCTION("""COMPUTED_VALUE"""),"5 Experten, 5 Jahre &amp; 1 Ziel: Aufbau einer nachhaltigen Zukunft")</f>
        <v>5 Experten, 5 Jahre &amp; 1 Ziel: Aufbau einer nachhaltigen Zukunft</v>
      </c>
      <c r="B321" s="16" t="str">
        <f>IFERROR(__xludf.DUMMYFUNCTION("""COMPUTED_VALUE"""),"Sustainable Future: 5 Experts on 5 Changes in the Next 5 Years")</f>
        <v>Sustainable Future: 5 Experts on 5 Changes in the Next 5 Years</v>
      </c>
      <c r="C321" s="17" t="str">
        <f>IFERROR(__xludf.DUMMYFUNCTION("""COMPUTED_VALUE"""),"Von der Entwicklung neuer Technologien für die CO2-Bindung bis hin zur Suche nach neuen Methoden für den Einsatz von maschinellem Lernen im Gesundheitswesen: 5 Expert:innen von IBM erläutern die wichtigsten Technologievorhersagen für die nächsten 5 Jahre.")</f>
        <v>Von der Entwicklung neuer Technologien für die CO2-Bindung bis hin zur Suche nach neuen Methoden für den Einsatz von maschinellem Lernen im Gesundheitswesen: 5 Expert:innen von IBM erläutern die wichtigsten Technologievorhersagen für die nächsten 5 Jahre.</v>
      </c>
      <c r="D321" s="17" t="str">
        <f>IFERROR(__xludf.DUMMYFUNCTION("""COMPUTED_VALUE"""),"A lot can change in five years. From developing new technologies for carbon capture, to finding new methods of using machine learning for public health, five experts at IBM explain the biggest technological predictions they have for the next five years.")</f>
        <v>A lot can change in five years. From developing new technologies for carbon capture, to finding new methods of using machine learning for public health, five experts at IBM explain the biggest technological predictions they have for the next five years.</v>
      </c>
      <c r="E321" s="9" t="str">
        <f>IFERROR(__xludf.DUMMYFUNCTION("""COMPUTED_VALUE"""),"Global Citizenship")</f>
        <v>Global Citizenship</v>
      </c>
      <c r="F321" s="19" t="str">
        <f>IFERROR(__xludf.DUMMYFUNCTION("""COMPUTED_VALUE"""),"IBM Research")</f>
        <v>IBM Research</v>
      </c>
      <c r="G321" s="20">
        <f>IFERROR(__xludf.DUMMYFUNCTION("""COMPUTED_VALUE"""),8.0)</f>
        <v>8</v>
      </c>
      <c r="H321" s="20">
        <f>IFERROR(__xludf.DUMMYFUNCTION("""COMPUTED_VALUE"""),4.0)</f>
        <v>4</v>
      </c>
      <c r="I321" s="21" t="str">
        <f>IFERROR(__xludf.DUMMYFUNCTION("""COMPUTED_VALUE"""),"English, German")</f>
        <v>English, German</v>
      </c>
      <c r="J321" s="21" t="str">
        <f>IFERROR(__xludf.DUMMYFUNCTION("""COMPUTED_VALUE"""),"English")</f>
        <v>English</v>
      </c>
      <c r="K321" s="22">
        <f>IFERROR(__xludf.DUMMYFUNCTION("""COMPUTED_VALUE"""),44784.0)</f>
        <v>44784</v>
      </c>
      <c r="L321" s="23" t="str">
        <f>IFERROR(__xludf.DUMMYFUNCTION("""COMPUTED_VALUE"""),"https://masterplan.com/courses/5-experten-5-jahre-und-1-ziel-aufbau-einer-nachhaltigen-zukunft")</f>
        <v>https://masterplan.com/courses/5-experten-5-jahre-und-1-ziel-aufbau-einer-nachhaltigen-zukunft</v>
      </c>
    </row>
    <row r="322">
      <c r="A322" s="6" t="str">
        <f>IFERROR(__xludf.DUMMYFUNCTION("""COMPUTED_VALUE"""),"Geld ist nicht alles: Mit Beschäftigten-Benefits richtig punkten")</f>
        <v>Geld ist nicht alles: Mit Beschäftigten-Benefits richtig punkten</v>
      </c>
      <c r="B322" s="7" t="str">
        <f>IFERROR(__xludf.DUMMYFUNCTION("""COMPUTED_VALUE"""),"How to Design a Competitive Employee Compensation Package")</f>
        <v>How to Design a Competitive Employee Compensation Package</v>
      </c>
      <c r="C322" s="8" t="str">
        <f>IFERROR(__xludf.DUMMYFUNCTION("""COMPUTED_VALUE"""),"41 % der Beschäftigten weltweit erwägen, ihr Unternehmen im nächsten Jahr zu verlassen. Ein großzügiges Vergütungspaket kann einen großen Unterschied beim Gewinn und Erhalt von Talenten machen. Was sollte dein Vergütungspaket enthalten, um sich von andere"&amp;"n abzuheben? ")</f>
        <v>41 % der Beschäftigten weltweit erwägen, ihr Unternehmen im nächsten Jahr zu verlassen. Ein großzügiges Vergütungspaket kann einen großen Unterschied beim Gewinn und Erhalt von Talenten machen. Was sollte dein Vergütungspaket enthalten, um sich von anderen abzuheben? </v>
      </c>
      <c r="D322" s="8" t="str">
        <f>IFERROR(__xludf.DUMMYFUNCTION("""COMPUTED_VALUE"""),"41 % of the global workforce are considering leaving their current jobs within the year. A generous compensation package can make a huge difference in attracting and retaining talent. What should your compensation package include to stand out from other o"&amp;"rganizations?")</f>
        <v>41 % of the global workforce are considering leaving their current jobs within the year. A generous compensation package can make a huge difference in attracting and retaining talent. What should your compensation package include to stand out from other organizations?</v>
      </c>
      <c r="E322" s="9" t="str">
        <f>IFERROR(__xludf.DUMMYFUNCTION("""COMPUTED_VALUE"""),"Global Citizenship")</f>
        <v>Global Citizenship</v>
      </c>
      <c r="F322" s="10" t="str">
        <f>IFERROR(__xludf.DUMMYFUNCTION("""COMPUTED_VALUE"""),"AIHR - Academy to Innovate HR")</f>
        <v>AIHR - Academy to Innovate HR</v>
      </c>
      <c r="G322" s="11">
        <f>IFERROR(__xludf.DUMMYFUNCTION("""COMPUTED_VALUE"""),14.0)</f>
        <v>14</v>
      </c>
      <c r="H322" s="11">
        <f>IFERROR(__xludf.DUMMYFUNCTION("""COMPUTED_VALUE"""),5.0)</f>
        <v>5</v>
      </c>
      <c r="I322" s="12" t="str">
        <f>IFERROR(__xludf.DUMMYFUNCTION("""COMPUTED_VALUE"""),"English, German")</f>
        <v>English, German</v>
      </c>
      <c r="J322" s="12" t="str">
        <f>IFERROR(__xludf.DUMMYFUNCTION("""COMPUTED_VALUE"""),"English")</f>
        <v>English</v>
      </c>
      <c r="K322" s="13">
        <f>IFERROR(__xludf.DUMMYFUNCTION("""COMPUTED_VALUE"""),44784.0)</f>
        <v>44784</v>
      </c>
      <c r="L322" s="14" t="str">
        <f>IFERROR(__xludf.DUMMYFUNCTION("""COMPUTED_VALUE"""),"https://masterplan.com/courses/geld-ist-nicht-alles-mit-beschaeftigten-benefits-richtig-punkten")</f>
        <v>https://masterplan.com/courses/geld-ist-nicht-alles-mit-beschaeftigten-benefits-richtig-punkten</v>
      </c>
    </row>
    <row r="323">
      <c r="A323" s="15" t="str">
        <f>IFERROR(__xludf.DUMMYFUNCTION("""COMPUTED_VALUE"""),"Neuigkeiten in KI &amp; Tech August II")</f>
        <v>Neuigkeiten in KI &amp; Tech August II</v>
      </c>
      <c r="B323" s="16" t="str">
        <f>IFERROR(__xludf.DUMMYFUNCTION("""COMPUTED_VALUE"""),"News in AI &amp; Tech August II")</f>
        <v>News in AI &amp; Tech August II</v>
      </c>
      <c r="C323" s="17" t="str">
        <f>IFERROR(__xludf.DUMMYFUNCTION("""COMPUTED_VALUE"""),"Meta betritt den Markt der Texterstellung von KI, Amazon vergrößert sein Portfolio durch den Kauf von iRobot, das Kryptounternehmen Solana steckt in Schwierigkeiten, während Krypto im Allgemeinen auf dem Vormarsch ist - das sind die Neuigkeiten von Gianlu"&amp;"cas neuestem Tech-Update. ")</f>
        <v>Meta betritt den Markt der Texterstellung von KI, Amazon vergrößert sein Portfolio durch den Kauf von iRobot, das Kryptounternehmen Solana steckt in Schwierigkeiten, während Krypto im Allgemeinen auf dem Vormarsch ist - das sind die Neuigkeiten von Gianlucas neuestem Tech-Update. </v>
      </c>
      <c r="D323" s="17" t="str">
        <f>IFERROR(__xludf.DUMMYFUNCTION("""COMPUTED_VALUE"""),"Meta enters the market of AI text generation, Amazon grows its portfolio by buying iRobot, and crypto company Solana is in trouble while crypto, in general, is growing up  - these are the news of Gianluca's newest tech updates. ")</f>
        <v>Meta enters the market of AI text generation, Amazon grows its portfolio by buying iRobot, and crypto company Solana is in trouble while crypto, in general, is growing up  - these are the news of Gianluca's newest tech updates. </v>
      </c>
      <c r="E323" s="25" t="str">
        <f>IFERROR(__xludf.DUMMYFUNCTION("""COMPUTED_VALUE"""),"Digital Literacy")</f>
        <v>Digital Literacy</v>
      </c>
      <c r="F323" s="19" t="str">
        <f>IFERROR(__xludf.DUMMYFUNCTION("""COMPUTED_VALUE"""),"AI Academy - Gianluca Mauro")</f>
        <v>AI Academy - Gianluca Mauro</v>
      </c>
      <c r="G323" s="20">
        <f>IFERROR(__xludf.DUMMYFUNCTION("""COMPUTED_VALUE"""),12.0)</f>
        <v>12</v>
      </c>
      <c r="H323" s="20">
        <f>IFERROR(__xludf.DUMMYFUNCTION("""COMPUTED_VALUE"""),1.0)</f>
        <v>1</v>
      </c>
      <c r="I323" s="21" t="str">
        <f>IFERROR(__xludf.DUMMYFUNCTION("""COMPUTED_VALUE"""),"English, German")</f>
        <v>English, German</v>
      </c>
      <c r="J323" s="21" t="str">
        <f>IFERROR(__xludf.DUMMYFUNCTION("""COMPUTED_VALUE"""),"English")</f>
        <v>English</v>
      </c>
      <c r="K323" s="22">
        <f>IFERROR(__xludf.DUMMYFUNCTION("""COMPUTED_VALUE"""),44784.0)</f>
        <v>44784</v>
      </c>
      <c r="L323" s="23" t="str">
        <f>IFERROR(__xludf.DUMMYFUNCTION("""COMPUTED_VALUE"""),"https://masterplan.com/courses/tech-updates-august-ii")</f>
        <v>https://masterplan.com/courses/tech-updates-august-ii</v>
      </c>
    </row>
    <row r="324">
      <c r="A324" s="6" t="str">
        <f>IFERROR(__xludf.DUMMYFUNCTION("""COMPUTED_VALUE"""),"Cognitive Biases: Anchoring")</f>
        <v>Cognitive Biases: Anchoring</v>
      </c>
      <c r="B324" s="7" t="str">
        <f>IFERROR(__xludf.DUMMYFUNCTION("""COMPUTED_VALUE"""),"Cognitive Biases: Anchoring")</f>
        <v>Cognitive Biases: Anchoring</v>
      </c>
      <c r="C324" s="8" t="str">
        <f>IFERROR(__xludf.DUMMYFUNCTION("""COMPUTED_VALUE"""),"Ob Gehaltsverhandlung, Verkaufsgespräch oder Gerichtsentscheidungen: Unsere Gehirne lassen sich in wichtigen Situationen überraschend leicht beeinflussen. In dieser Folge aus der Reihe zu kognitiven Verzerrungen zeigen wir dir, wie du diesen Umstand gesch"&amp;"ickt für dich nutzt")</f>
        <v>Ob Gehaltsverhandlung, Verkaufsgespräch oder Gerichtsentscheidungen: Unsere Gehirne lassen sich in wichtigen Situationen überraschend leicht beeinflussen. In dieser Folge aus der Reihe zu kognitiven Verzerrungen zeigen wir dir, wie du diesen Umstand geschickt für dich nutzt</v>
      </c>
      <c r="D324" s="8" t="str">
        <f>IFERROR(__xludf.DUMMYFUNCTION("""COMPUTED_VALUE"""),"Whether it's a salary negotiation, a sales pitch or a court decision: Our brains are surprisingly easy to influence in important situations. In this episode of the Cognitive Biases series, we show you how to use this fact to your advantage.")</f>
        <v>Whether it's a salary negotiation, a sales pitch or a court decision: Our brains are surprisingly easy to influence in important situations. In this episode of the Cognitive Biases series, we show you how to use this fact to your advantage.</v>
      </c>
      <c r="E324" s="9" t="str">
        <f>IFERROR(__xludf.DUMMYFUNCTION("""COMPUTED_VALUE"""),"Global Citizenship")</f>
        <v>Global Citizenship</v>
      </c>
      <c r="F324" s="10" t="str">
        <f>IFERROR(__xludf.DUMMYFUNCTION("""COMPUTED_VALUE"""),"Masterplan - Kolja Wohlleben ")</f>
        <v>Masterplan - Kolja Wohlleben </v>
      </c>
      <c r="G324" s="11">
        <f>IFERROR(__xludf.DUMMYFUNCTION("""COMPUTED_VALUE"""),3.0)</f>
        <v>3</v>
      </c>
      <c r="H324" s="11">
        <f>IFERROR(__xludf.DUMMYFUNCTION("""COMPUTED_VALUE"""),3.0)</f>
        <v>3</v>
      </c>
      <c r="I324" s="12" t="str">
        <f>IFERROR(__xludf.DUMMYFUNCTION("""COMPUTED_VALUE"""),"English, German")</f>
        <v>English, German</v>
      </c>
      <c r="J324" s="12" t="str">
        <f>IFERROR(__xludf.DUMMYFUNCTION("""COMPUTED_VALUE"""),"German")</f>
        <v>German</v>
      </c>
      <c r="K324" s="13">
        <f>IFERROR(__xludf.DUMMYFUNCTION("""COMPUTED_VALUE"""),44781.0)</f>
        <v>44781</v>
      </c>
      <c r="L324" s="14" t="str">
        <f>IFERROR(__xludf.DUMMYFUNCTION("""COMPUTED_VALUE"""),"https://masterplan.com/courses/mp-shorts-cognitive-biases-anchoring")</f>
        <v>https://masterplan.com/courses/mp-shorts-cognitive-biases-anchoring</v>
      </c>
    </row>
    <row r="325">
      <c r="A325" s="15" t="str">
        <f>IFERROR(__xludf.DUMMYFUNCTION("""COMPUTED_VALUE"""),"Cognitive Biases: Action Bias")</f>
        <v>Cognitive Biases: Action Bias</v>
      </c>
      <c r="B325" s="16" t="str">
        <f>IFERROR(__xludf.DUMMYFUNCTION("""COMPUTED_VALUE"""),"Cognitive Biases: Action Bias")</f>
        <v>Cognitive Biases: Action Bias</v>
      </c>
      <c r="C325" s="17" t="str">
        <f>IFERROR(__xludf.DUMMYFUNCTION("""COMPUTED_VALUE"""),"""Irgendetwas müssen wir doch tun"" – zu oft handeln wir zu vorschnell und unüberlegt weil wir das Nichtstun nicht aushalten. In diesem Masterplan Short lernst du, warum wir oft in nutzloser Hektik verfallen und warum ""Abwarten und Tee trinken"" oft die "&amp;"beste Strategie ist.")</f>
        <v>"Irgendetwas müssen wir doch tun" – zu oft handeln wir zu vorschnell und unüberlegt weil wir das Nichtstun nicht aushalten. In diesem Masterplan Short lernst du, warum wir oft in nutzloser Hektik verfallen und warum "Abwarten und Tee trinken" oft die beste Strategie ist.</v>
      </c>
      <c r="D325" s="17" t="str">
        <f>IFERROR(__xludf.DUMMYFUNCTION("""COMPUTED_VALUE"""),"When things go wrong, we want to act fast– but rash decisions and hasty thinking can often do more harm than good. In this Masterplan Short, learn to recognize when the best thing to do is nothing at all!")</f>
        <v>When things go wrong, we want to act fast– but rash decisions and hasty thinking can often do more harm than good. In this Masterplan Short, learn to recognize when the best thing to do is nothing at all!</v>
      </c>
      <c r="E325" s="26" t="str">
        <f>IFERROR(__xludf.DUMMYFUNCTION("""COMPUTED_VALUE"""),"Collaboration and Leadership")</f>
        <v>Collaboration and Leadership</v>
      </c>
      <c r="F325" s="19" t="str">
        <f>IFERROR(__xludf.DUMMYFUNCTION("""COMPUTED_VALUE"""),"Masterplan - Kolja Wohlleben ")</f>
        <v>Masterplan - Kolja Wohlleben </v>
      </c>
      <c r="G325" s="20">
        <f>IFERROR(__xludf.DUMMYFUNCTION("""COMPUTED_VALUE"""),2.0)</f>
        <v>2</v>
      </c>
      <c r="H325" s="20">
        <f>IFERROR(__xludf.DUMMYFUNCTION("""COMPUTED_VALUE"""),3.0)</f>
        <v>3</v>
      </c>
      <c r="I325" s="21" t="str">
        <f>IFERROR(__xludf.DUMMYFUNCTION("""COMPUTED_VALUE"""),"English, German")</f>
        <v>English, German</v>
      </c>
      <c r="J325" s="21" t="str">
        <f>IFERROR(__xludf.DUMMYFUNCTION("""COMPUTED_VALUE"""),"German")</f>
        <v>German</v>
      </c>
      <c r="K325" s="22">
        <f>IFERROR(__xludf.DUMMYFUNCTION("""COMPUTED_VALUE"""),44781.0)</f>
        <v>44781</v>
      </c>
      <c r="L325" s="23" t="str">
        <f>IFERROR(__xludf.DUMMYFUNCTION("""COMPUTED_VALUE"""),"https://masterplan.com/courses/mp-shorts-cognitive-biases-action-bias")</f>
        <v>https://masterplan.com/courses/mp-shorts-cognitive-biases-action-bias</v>
      </c>
    </row>
    <row r="326">
      <c r="A326" s="6" t="str">
        <f>IFERROR(__xludf.DUMMYFUNCTION("""COMPUTED_VALUE"""),"Cognitive Biases: Halo Effect")</f>
        <v>Cognitive Biases: Halo Effect</v>
      </c>
      <c r="B326" s="7" t="str">
        <f>IFERROR(__xludf.DUMMYFUNCTION("""COMPUTED_VALUE"""),"Cognitive Biases: Halo Effect")</f>
        <v>Cognitive Biases: Halo Effect</v>
      </c>
      <c r="C326" s="8" t="str">
        <f>IFERROR(__xludf.DUMMYFUNCTION("""COMPUTED_VALUE"""),"Manchmal tragen wir alle einen Heiligenschein! In diesem Masterplan Short lernst du, wieso das nicht so toll ist wie es klingt, weshalb wir Menschen manchmal ungerechtfertigt positiv einschätzen und wie du es schaffst, sie trotzdem nach ihren wahren Quali"&amp;"täten zu beurteilen.")</f>
        <v>Manchmal tragen wir alle einen Heiligenschein! In diesem Masterplan Short lernst du, wieso das nicht so toll ist wie es klingt, weshalb wir Menschen manchmal ungerechtfertigt positiv einschätzen und wie du es schaffst, sie trotzdem nach ihren wahren Qualitäten zu beurteilen.</v>
      </c>
      <c r="D326" s="8" t="str">
        <f>IFERROR(__xludf.DUMMYFUNCTION("""COMPUTED_VALUE"""),"Don't let the halo fool you! In this Masterplan Short, you'll learn what factors cause us to see through rose-colored glasses so that you can avoid judging people unfairly– even if those judgments are positive, they can still be wrong!")</f>
        <v>Don't let the halo fool you! In this Masterplan Short, you'll learn what factors cause us to see through rose-colored glasses so that you can avoid judging people unfairly– even if those judgments are positive, they can still be wrong!</v>
      </c>
      <c r="E326" s="29" t="str">
        <f>IFERROR(__xludf.DUMMYFUNCTION("""COMPUTED_VALUE"""),"Thinking and Deciding Clearly")</f>
        <v>Thinking and Deciding Clearly</v>
      </c>
      <c r="F326" s="10" t="str">
        <f>IFERROR(__xludf.DUMMYFUNCTION("""COMPUTED_VALUE"""),"Masterplan - Kolja Wohlleben ")</f>
        <v>Masterplan - Kolja Wohlleben </v>
      </c>
      <c r="G326" s="11">
        <f>IFERROR(__xludf.DUMMYFUNCTION("""COMPUTED_VALUE"""),2.0)</f>
        <v>2</v>
      </c>
      <c r="H326" s="11">
        <f>IFERROR(__xludf.DUMMYFUNCTION("""COMPUTED_VALUE"""),3.0)</f>
        <v>3</v>
      </c>
      <c r="I326" s="12" t="str">
        <f>IFERROR(__xludf.DUMMYFUNCTION("""COMPUTED_VALUE"""),"English, German")</f>
        <v>English, German</v>
      </c>
      <c r="J326" s="12" t="str">
        <f>IFERROR(__xludf.DUMMYFUNCTION("""COMPUTED_VALUE"""),"German")</f>
        <v>German</v>
      </c>
      <c r="K326" s="13">
        <f>IFERROR(__xludf.DUMMYFUNCTION("""COMPUTED_VALUE"""),44781.0)</f>
        <v>44781</v>
      </c>
      <c r="L326" s="14" t="str">
        <f>IFERROR(__xludf.DUMMYFUNCTION("""COMPUTED_VALUE"""),"https://masterplan.com/courses/mp-shorts-cognitive-biases-halo-effect")</f>
        <v>https://masterplan.com/courses/mp-shorts-cognitive-biases-halo-effect</v>
      </c>
    </row>
    <row r="327">
      <c r="A327" s="15" t="str">
        <f>IFERROR(__xludf.DUMMYFUNCTION("""COMPUTED_VALUE"""),"Cognitive Biases: Sunk Cost Fallacy")</f>
        <v>Cognitive Biases: Sunk Cost Fallacy</v>
      </c>
      <c r="B327" s="16" t="str">
        <f>IFERROR(__xludf.DUMMYFUNCTION("""COMPUTED_VALUE"""),"Cognitive Biases: Sunk Cost Fallacy")</f>
        <v>Cognitive Biases: Sunk Cost Fallacy</v>
      </c>
      <c r="C327" s="17" t="str">
        <f>IFERROR(__xludf.DUMMYFUNCTION("""COMPUTED_VALUE"""),"Wenn wir schlechtem Geld gutes hinterherwerfen, dann sind wir in die versunkene-Kosten-Falle getappt. Wieso wir oft Ressourcen verschwenden, wenn es eigentlich zu spät ist, und wie du das in deinem nächsten Projekt vermeiden kannst, erfährst du in diesem "&amp;"Masterplan Short.")</f>
        <v>Wenn wir schlechtem Geld gutes hinterherwerfen, dann sind wir in die versunkene-Kosten-Falle getappt. Wieso wir oft Ressourcen verschwenden, wenn es eigentlich zu spät ist, und wie du das in deinem nächsten Projekt vermeiden kannst, erfährst du in diesem Masterplan Short.</v>
      </c>
      <c r="D327" s="17" t="str">
        <f>IFERROR(__xludf.DUMMYFUNCTION("""COMPUTED_VALUE"""),"When we throw good money after bad, we've fallen victim to the Sunk Cost Fallacy. Discover why we often waste resources when it's actually too late, and how you can avoid this in your next project in this Masterplan Short.")</f>
        <v>When we throw good money after bad, we've fallen victim to the Sunk Cost Fallacy. Discover why we often waste resources when it's actually too late, and how you can avoid this in your next project in this Masterplan Short.</v>
      </c>
      <c r="E327" s="18" t="str">
        <f>IFERROR(__xludf.DUMMYFUNCTION("""COMPUTED_VALUE"""),"Creativity and Innovation")</f>
        <v>Creativity and Innovation</v>
      </c>
      <c r="F327" s="19" t="str">
        <f>IFERROR(__xludf.DUMMYFUNCTION("""COMPUTED_VALUE"""),"Masterplan - Kolja Wohlleben ")</f>
        <v>Masterplan - Kolja Wohlleben </v>
      </c>
      <c r="G327" s="20">
        <f>IFERROR(__xludf.DUMMYFUNCTION("""COMPUTED_VALUE"""),2.0)</f>
        <v>2</v>
      </c>
      <c r="H327" s="20">
        <f>IFERROR(__xludf.DUMMYFUNCTION("""COMPUTED_VALUE"""),3.0)</f>
        <v>3</v>
      </c>
      <c r="I327" s="21" t="str">
        <f>IFERROR(__xludf.DUMMYFUNCTION("""COMPUTED_VALUE"""),"English, German")</f>
        <v>English, German</v>
      </c>
      <c r="J327" s="21" t="str">
        <f>IFERROR(__xludf.DUMMYFUNCTION("""COMPUTED_VALUE"""),"German")</f>
        <v>German</v>
      </c>
      <c r="K327" s="22">
        <f>IFERROR(__xludf.DUMMYFUNCTION("""COMPUTED_VALUE"""),44781.0)</f>
        <v>44781</v>
      </c>
      <c r="L327" s="23" t="str">
        <f>IFERROR(__xludf.DUMMYFUNCTION("""COMPUTED_VALUE"""),"https://masterplan.com/courses/mp-shorts-cognitive-biases-sunk-cost-fallacy")</f>
        <v>https://masterplan.com/courses/mp-shorts-cognitive-biases-sunk-cost-fallacy</v>
      </c>
    </row>
    <row r="328">
      <c r="A328" s="6" t="str">
        <f>IFERROR(__xludf.DUMMYFUNCTION("""COMPUTED_VALUE"""),"Cognitive Biases: Planning Fallacy")</f>
        <v>Cognitive Biases: Planning Fallacy</v>
      </c>
      <c r="B328" s="7" t="str">
        <f>IFERROR(__xludf.DUMMYFUNCTION("""COMPUTED_VALUE"""),"Cognitive Biases: Planning Fallacy")</f>
        <v>Cognitive Biases: Planning Fallacy</v>
      </c>
      <c r="C328" s="8" t="str">
        <f>IFERROR(__xludf.DUMMYFUNCTION("""COMPUTED_VALUE"""),"""Häuserbauen ist eine Lust - was es kostet hab ich nicht gewusst.""   Auch die Planer des BER oder der Elbphilharmonie erlagen dem Planungsfehlschluss. Lerne in diesem Short, warum wir Aufwand und Kosten notorisch unterschätzen und was du dagegen tun kan"&amp;"nst!")</f>
        <v>"Häuserbauen ist eine Lust - was es kostet hab ich nicht gewusst."   Auch die Planer des BER oder der Elbphilharmonie erlagen dem Planungsfehlschluss. Lerne in diesem Short, warum wir Aufwand und Kosten notorisch unterschätzen und was du dagegen tun kannst!</v>
      </c>
      <c r="D328" s="8" t="str">
        <f>IFERROR(__xludf.DUMMYFUNCTION("""COMPUTED_VALUE"""),"Even the most experienced project managers can dramatically underestimate how difficult their projects will be– just ask the Berlin airport or the Sydney Opera House. Watch this Masterplan Short to learn what you can do to avoid falling victim to the Plan"&amp;"ning Fallacy.")</f>
        <v>Even the most experienced project managers can dramatically underestimate how difficult their projects will be– just ask the Berlin airport or the Sydney Opera House. Watch this Masterplan Short to learn what you can do to avoid falling victim to the Planning Fallacy.</v>
      </c>
      <c r="E328" s="18" t="str">
        <f>IFERROR(__xludf.DUMMYFUNCTION("""COMPUTED_VALUE"""),"Creativity and Innovation")</f>
        <v>Creativity and Innovation</v>
      </c>
      <c r="F328" s="10" t="str">
        <f>IFERROR(__xludf.DUMMYFUNCTION("""COMPUTED_VALUE"""),"Masterplan - Kolja Wohlleben ")</f>
        <v>Masterplan - Kolja Wohlleben </v>
      </c>
      <c r="G328" s="11">
        <f>IFERROR(__xludf.DUMMYFUNCTION("""COMPUTED_VALUE"""),3.0)</f>
        <v>3</v>
      </c>
      <c r="H328" s="11">
        <f>IFERROR(__xludf.DUMMYFUNCTION("""COMPUTED_VALUE"""),3.0)</f>
        <v>3</v>
      </c>
      <c r="I328" s="12" t="str">
        <f>IFERROR(__xludf.DUMMYFUNCTION("""COMPUTED_VALUE"""),"English, German")</f>
        <v>English, German</v>
      </c>
      <c r="J328" s="12" t="str">
        <f>IFERROR(__xludf.DUMMYFUNCTION("""COMPUTED_VALUE"""),"German")</f>
        <v>German</v>
      </c>
      <c r="K328" s="13">
        <f>IFERROR(__xludf.DUMMYFUNCTION("""COMPUTED_VALUE"""),44781.0)</f>
        <v>44781</v>
      </c>
      <c r="L328" s="14" t="str">
        <f>IFERROR(__xludf.DUMMYFUNCTION("""COMPUTED_VALUE"""),"https://masterplan.com/courses/mp-shorts-cognitive-biases-planning-fallacy")</f>
        <v>https://masterplan.com/courses/mp-shorts-cognitive-biases-planning-fallacy</v>
      </c>
    </row>
    <row r="329">
      <c r="A329" s="15" t="str">
        <f>IFERROR(__xludf.DUMMYFUNCTION("""COMPUTED_VALUE"""),"Neuigkeiten in KI &amp; Tech August I")</f>
        <v>Neuigkeiten in KI &amp; Tech August I</v>
      </c>
      <c r="B329" s="16" t="str">
        <f>IFERROR(__xludf.DUMMYFUNCTION("""COMPUTED_VALUE"""),"News in AI &amp; Tech August I")</f>
        <v>News in AI &amp; Tech August I</v>
      </c>
      <c r="C329" s="17" t="str">
        <f>IFERROR(__xludf.DUMMYFUNCTION("""COMPUTED_VALUE"""),"Deepminds KI veröffentlicht die Struktur jedes bekannten Proteins im Universum, Algorithmen treiben Konzertkarten auf 5.000 Dollar, KI imitiert einen berühmten Philosophen - das sind die Themen von Gianlucas erstem August-Tech-Update. ")</f>
        <v>Deepminds KI veröffentlicht die Struktur jedes bekannten Proteins im Universum, Algorithmen treiben Konzertkarten auf 5.000 Dollar, KI imitiert einen berühmten Philosophen - das sind die Themen von Gianlucas erstem August-Tech-Update. </v>
      </c>
      <c r="D329" s="17" t="str">
        <f>IFERROR(__xludf.DUMMYFUNCTION("""COMPUTED_VALUE"""),"Deepmind’s AI releases the structure for every known protein in the universe, Algorithms push concert tickets to $5.000, and AI impersonates a famous philosopher, these are the topics of Gianluca's first August tech update. ")</f>
        <v>Deepmind’s AI releases the structure for every known protein in the universe, Algorithms push concert tickets to $5.000, and AI impersonates a famous philosopher, these are the topics of Gianluca's first August tech update. </v>
      </c>
      <c r="E329" s="25" t="str">
        <f>IFERROR(__xludf.DUMMYFUNCTION("""COMPUTED_VALUE"""),"Digital Literacy")</f>
        <v>Digital Literacy</v>
      </c>
      <c r="F329" s="19" t="str">
        <f>IFERROR(__xludf.DUMMYFUNCTION("""COMPUTED_VALUE"""),"AI Academy - Gianluca Mauro")</f>
        <v>AI Academy - Gianluca Mauro</v>
      </c>
      <c r="G329" s="20">
        <f>IFERROR(__xludf.DUMMYFUNCTION("""COMPUTED_VALUE"""),10.0)</f>
        <v>10</v>
      </c>
      <c r="H329" s="20">
        <f>IFERROR(__xludf.DUMMYFUNCTION("""COMPUTED_VALUE"""),1.0)</f>
        <v>1</v>
      </c>
      <c r="I329" s="21" t="str">
        <f>IFERROR(__xludf.DUMMYFUNCTION("""COMPUTED_VALUE"""),"English, German")</f>
        <v>English, German</v>
      </c>
      <c r="J329" s="21" t="str">
        <f>IFERROR(__xludf.DUMMYFUNCTION("""COMPUTED_VALUE"""),"English")</f>
        <v>English</v>
      </c>
      <c r="K329" s="22">
        <f>IFERROR(__xludf.DUMMYFUNCTION("""COMPUTED_VALUE"""),44777.0)</f>
        <v>44777</v>
      </c>
      <c r="L329" s="23" t="str">
        <f>IFERROR(__xludf.DUMMYFUNCTION("""COMPUTED_VALUE"""),"https://masterplan.com/courses/tech-updates-august-i")</f>
        <v>https://masterplan.com/courses/tech-updates-august-i</v>
      </c>
    </row>
    <row r="330">
      <c r="A330" s="6" t="str">
        <f>IFERROR(__xludf.DUMMYFUNCTION("""COMPUTED_VALUE"""),"Food Fraud: Lebensmittelbetrug auf der Spur")</f>
        <v>Food Fraud: Lebensmittelbetrug auf der Spur</v>
      </c>
      <c r="B330" s="7" t="str">
        <f>IFERROR(__xludf.DUMMYFUNCTION("""COMPUTED_VALUE"""),"Food Fraud: How Counterfeits Affect Brand Perception")</f>
        <v>Food Fraud: How Counterfeits Affect Brand Perception</v>
      </c>
      <c r="C330" s="8" t="str">
        <f>IFERROR(__xludf.DUMMYFUNCTION("""COMPUTED_VALUE"""),"Was müssen Unternehmen wissen, um sich und ihre Kundschaft vor internationalem Lebensmittelbetrug zu schützen? Brad Evans, Forscher an der Universität von Auckland, präsentiert seine Forschungsarbeit zu Fälschungen und Wahrnehmung im Lebensmittelsektor.")</f>
        <v>Was müssen Unternehmen wissen, um sich und ihre Kundschaft vor internationalem Lebensmittelbetrug zu schützen? Brad Evans, Forscher an der Universität von Auckland, präsentiert seine Forschungsarbeit zu Fälschungen und Wahrnehmung im Lebensmittelsektor.</v>
      </c>
      <c r="D330" s="8" t="str">
        <f>IFERROR(__xludf.DUMMYFUNCTION("""COMPUTED_VALUE"""),"What do businesses need to know about protecting themselves and their customers from international food fraud? In this Quick Take, researcher at the University of Auckland Brad Evans explains his research on counterfeiting and consumer perception in the f"&amp;"ood sector.")</f>
        <v>What do businesses need to know about protecting themselves and their customers from international food fraud? In this Quick Take, researcher at the University of Auckland Brad Evans explains his research on counterfeiting and consumer perception in the food sector.</v>
      </c>
      <c r="E330" s="9" t="str">
        <f>IFERROR(__xludf.DUMMYFUNCTION("""COMPUTED_VALUE"""),"Global Citizenship")</f>
        <v>Global Citizenship</v>
      </c>
      <c r="F330" s="10" t="str">
        <f>IFERROR(__xludf.DUMMYFUNCTION("""COMPUTED_VALUE"""),"University of Auckland (Business School)")</f>
        <v>University of Auckland (Business School)</v>
      </c>
      <c r="G330" s="11">
        <f>IFERROR(__xludf.DUMMYFUNCTION("""COMPUTED_VALUE"""),6.0)</f>
        <v>6</v>
      </c>
      <c r="H330" s="11">
        <f>IFERROR(__xludf.DUMMYFUNCTION("""COMPUTED_VALUE"""),3.0)</f>
        <v>3</v>
      </c>
      <c r="I330" s="12" t="str">
        <f>IFERROR(__xludf.DUMMYFUNCTION("""COMPUTED_VALUE"""),"English, German")</f>
        <v>English, German</v>
      </c>
      <c r="J330" s="12" t="str">
        <f>IFERROR(__xludf.DUMMYFUNCTION("""COMPUTED_VALUE"""),"English")</f>
        <v>English</v>
      </c>
      <c r="K330" s="13">
        <f>IFERROR(__xludf.DUMMYFUNCTION("""COMPUTED_VALUE"""),44775.0)</f>
        <v>44775</v>
      </c>
      <c r="L330" s="14" t="str">
        <f>IFERROR(__xludf.DUMMYFUNCTION("""COMPUTED_VALUE"""),"https://masterplan.com/courses/food-fraud-lebensmittelbetrug-auf-der-spur")</f>
        <v>https://masterplan.com/courses/food-fraud-lebensmittelbetrug-auf-der-spur</v>
      </c>
    </row>
    <row r="331">
      <c r="A331" s="15" t="str">
        <f>IFERROR(__xludf.DUMMYFUNCTION("""COMPUTED_VALUE"""),"Neuigkeiten in KI &amp; Tech Juli II")</f>
        <v>Neuigkeiten in KI &amp; Tech Juli II</v>
      </c>
      <c r="B331" s="16" t="str">
        <f>IFERROR(__xludf.DUMMYFUNCTION("""COMPUTED_VALUE"""),"News in AI &amp; Tech July II")</f>
        <v>News in AI &amp; Tech July II</v>
      </c>
      <c r="C331" s="17" t="str">
        <f>IFERROR(__xludf.DUMMYFUNCTION("""COMPUTED_VALUE"""),"Amazon übernimmt ein Gesundheitsunternehmen für 3,9 Milliarden Dollar, Tesla wurde in einem chinesischen Bezirk verboten, einem Coinbase-Mitarbeiter drohen 40 Jahre Gefängnis &amp; Meta gibt Facebook und Instagram den TikTok-Look - das sind die Themen von Gia"&amp;"nlucas aktuellem Tech-Update.")</f>
        <v>Amazon übernimmt ein Gesundheitsunternehmen für 3,9 Milliarden Dollar, Tesla wurde in einem chinesischen Bezirk verboten, einem Coinbase-Mitarbeiter drohen 40 Jahre Gefängnis &amp; Meta gibt Facebook und Instagram den TikTok-Look - das sind die Themen von Gianlucas aktuellem Tech-Update.</v>
      </c>
      <c r="D331" s="17" t="str">
        <f>IFERROR(__xludf.DUMMYFUNCTION("""COMPUTED_VALUE"""),"Amazon acquires a healthcare company for $3.9B, Tesla was banned in a Chinese district, Coinbase employee faces 40 years in prison &amp; Meta gives Facebook and Instagram the TikTok look - these are the topics of Gianluca's current tech update.")</f>
        <v>Amazon acquires a healthcare company for $3.9B, Tesla was banned in a Chinese district, Coinbase employee faces 40 years in prison &amp; Meta gives Facebook and Instagram the TikTok look - these are the topics of Gianluca's current tech update.</v>
      </c>
      <c r="E331" s="25" t="str">
        <f>IFERROR(__xludf.DUMMYFUNCTION("""COMPUTED_VALUE"""),"Digital Literacy")</f>
        <v>Digital Literacy</v>
      </c>
      <c r="F331" s="19" t="str">
        <f>IFERROR(__xludf.DUMMYFUNCTION("""COMPUTED_VALUE"""),"AI Academy - Gianluca Mauro")</f>
        <v>AI Academy - Gianluca Mauro</v>
      </c>
      <c r="G331" s="20">
        <f>IFERROR(__xludf.DUMMYFUNCTION("""COMPUTED_VALUE"""),11.0)</f>
        <v>11</v>
      </c>
      <c r="H331" s="20">
        <f>IFERROR(__xludf.DUMMYFUNCTION("""COMPUTED_VALUE"""),1.0)</f>
        <v>1</v>
      </c>
      <c r="I331" s="21" t="str">
        <f>IFERROR(__xludf.DUMMYFUNCTION("""COMPUTED_VALUE"""),"English, German")</f>
        <v>English, German</v>
      </c>
      <c r="J331" s="21" t="str">
        <f>IFERROR(__xludf.DUMMYFUNCTION("""COMPUTED_VALUE"""),"English")</f>
        <v>English</v>
      </c>
      <c r="K331" s="22">
        <f>IFERROR(__xludf.DUMMYFUNCTION("""COMPUTED_VALUE"""),44771.0)</f>
        <v>44771</v>
      </c>
      <c r="L331" s="23" t="str">
        <f>IFERROR(__xludf.DUMMYFUNCTION("""COMPUTED_VALUE"""),"https://masterplan.com/courses/tech-updates-july-ii")</f>
        <v>https://masterplan.com/courses/tech-updates-july-ii</v>
      </c>
    </row>
    <row r="332">
      <c r="A332" s="6" t="str">
        <f>IFERROR(__xludf.DUMMYFUNCTION("""COMPUTED_VALUE"""),"12 Schritte zur erfolgreichen Employer-Branding-Strategie")</f>
        <v>12 Schritte zur erfolgreichen Employer-Branding-Strategie</v>
      </c>
      <c r="B332" s="7" t="str">
        <f>IFERROR(__xludf.DUMMYFUNCTION("""COMPUTED_VALUE"""),"How to Build a Successful Employer Branding Strategy in 12 Steps")</f>
        <v>How to Build a Successful Employer Branding Strategy in 12 Steps</v>
      </c>
      <c r="C332" s="8" t="str">
        <f>IFERROR(__xludf.DUMMYFUNCTION("""COMPUTED_VALUE"""),"86 % würden sich nicht für ein Unternehmen mit einem schlechten Ruf bewerben oder für dieses weiter arbeiten. Deine Employer Brand ist also entscheidend, um Talente anzuziehen, einzustellen und zu halten. Finde heraus, wie du eine gute Employer Brand scha"&amp;"ffst!")</f>
        <v>86 % würden sich nicht für ein Unternehmen mit einem schlechten Ruf bewerben oder für dieses weiter arbeiten. Deine Employer Brand ist also entscheidend, um Talente anzuziehen, einzustellen und zu halten. Finde heraus, wie du eine gute Employer Brand schaffst!</v>
      </c>
      <c r="D332" s="8" t="str">
        <f>IFERROR(__xludf.DUMMYFUNCTION("""COMPUTED_VALUE"""),"Did you know that 86% of people would not apply to, or continue working for a company with a bad reputation? A great employer brand is crucial to attracting, hiring, and retaining talented people, so let's find out how to create a successful employer bran"&amp;"ding strategy!")</f>
        <v>Did you know that 86% of people would not apply to, or continue working for a company with a bad reputation? A great employer brand is crucial to attracting, hiring, and retaining talented people, so let's find out how to create a successful employer branding strategy!</v>
      </c>
      <c r="E332" s="26" t="str">
        <f>IFERROR(__xludf.DUMMYFUNCTION("""COMPUTED_VALUE"""),"Collaboration and Leadership")</f>
        <v>Collaboration and Leadership</v>
      </c>
      <c r="F332" s="10" t="str">
        <f>IFERROR(__xludf.DUMMYFUNCTION("""COMPUTED_VALUE"""),"AIHR - Academy to Innovate HR")</f>
        <v>AIHR - Academy to Innovate HR</v>
      </c>
      <c r="G332" s="11">
        <f>IFERROR(__xludf.DUMMYFUNCTION("""COMPUTED_VALUE"""),19.0)</f>
        <v>19</v>
      </c>
      <c r="H332" s="11">
        <f>IFERROR(__xludf.DUMMYFUNCTION("""COMPUTED_VALUE"""),7.0)</f>
        <v>7</v>
      </c>
      <c r="I332" s="12" t="str">
        <f>IFERROR(__xludf.DUMMYFUNCTION("""COMPUTED_VALUE"""),"English, German")</f>
        <v>English, German</v>
      </c>
      <c r="J332" s="12" t="str">
        <f>IFERROR(__xludf.DUMMYFUNCTION("""COMPUTED_VALUE"""),"English")</f>
        <v>English</v>
      </c>
      <c r="K332" s="13">
        <f>IFERROR(__xludf.DUMMYFUNCTION("""COMPUTED_VALUE"""),44771.0)</f>
        <v>44771</v>
      </c>
      <c r="L332" s="14" t="str">
        <f>IFERROR(__xludf.DUMMYFUNCTION("""COMPUTED_VALUE"""),"https://masterplan.com/courses/12-schritte-zur-erfolgreichen-employer-branding-strategie")</f>
        <v>https://masterplan.com/courses/12-schritte-zur-erfolgreichen-employer-branding-strategie</v>
      </c>
    </row>
    <row r="333">
      <c r="A333" s="15" t="str">
        <f>IFERROR(__xludf.DUMMYFUNCTION("""COMPUTED_VALUE"""),"9 Tipps für eine erfolgreiche Lernkultur")</f>
        <v>9 Tipps für eine erfolgreiche Lernkultur</v>
      </c>
      <c r="B333" s="16" t="str">
        <f>IFERROR(__xludf.DUMMYFUNCTION("""COMPUTED_VALUE"""),"9 Tips to Create a Learning Culture")</f>
        <v>9 Tips to Create a Learning Culture</v>
      </c>
      <c r="C333" s="17" t="str">
        <f>IFERROR(__xludf.DUMMYFUNCTION("""COMPUTED_VALUE"""),"Laut IBM erhalten 84 % der Mitarbeitenden in den leistungsstärksten Unternehmen regelmäßig die Schulungen, die sie brauchen. In den leistungsschwächsten Organisationen waren es nur 16%. Was sagt uns das? Eine Lernkultur ist ein Muss für jede erfolgreiche "&amp;"Organisation!")</f>
        <v>Laut IBM erhalten 84 % der Mitarbeitenden in den leistungsstärksten Unternehmen regelmäßig die Schulungen, die sie brauchen. In den leistungsschwächsten Organisationen waren es nur 16%. Was sagt uns das? Eine Lernkultur ist ein Muss für jede erfolgreiche Organisation!</v>
      </c>
      <c r="D333" s="17" t="str">
        <f>IFERROR(__xludf.DUMMYFUNCTION("""COMPUTED_VALUE"""),"According to IBM, 84% employees in the best-performing organizations are regularly getting the training they need. In the worst-performing organizations, this was  just 16%. What does that tell you? A learning culture is a must for every successful organi"&amp;"zation!")</f>
        <v>According to IBM, 84% employees in the best-performing organizations are regularly getting the training they need. In the worst-performing organizations, this was  just 16%. What does that tell you? A learning culture is a must for every successful organization!</v>
      </c>
      <c r="E333" s="9" t="str">
        <f>IFERROR(__xludf.DUMMYFUNCTION("""COMPUTED_VALUE"""),"Global Citizenship")</f>
        <v>Global Citizenship</v>
      </c>
      <c r="F333" s="19" t="str">
        <f>IFERROR(__xludf.DUMMYFUNCTION("""COMPUTED_VALUE"""),"AIHR - Academy to Innovate HR")</f>
        <v>AIHR - Academy to Innovate HR</v>
      </c>
      <c r="G333" s="20">
        <f>IFERROR(__xludf.DUMMYFUNCTION("""COMPUTED_VALUE"""),9.0)</f>
        <v>9</v>
      </c>
      <c r="H333" s="20">
        <f>IFERROR(__xludf.DUMMYFUNCTION("""COMPUTED_VALUE"""),4.0)</f>
        <v>4</v>
      </c>
      <c r="I333" s="21" t="str">
        <f>IFERROR(__xludf.DUMMYFUNCTION("""COMPUTED_VALUE"""),"English, German")</f>
        <v>English, German</v>
      </c>
      <c r="J333" s="21" t="str">
        <f>IFERROR(__xludf.DUMMYFUNCTION("""COMPUTED_VALUE"""),"English")</f>
        <v>English</v>
      </c>
      <c r="K333" s="22">
        <f>IFERROR(__xludf.DUMMYFUNCTION("""COMPUTED_VALUE"""),44771.0)</f>
        <v>44771</v>
      </c>
      <c r="L333" s="23" t="str">
        <f>IFERROR(__xludf.DUMMYFUNCTION("""COMPUTED_VALUE"""),"https://masterplan.com/courses/9-tipps-fur-eine-erfolgreiche-lernkultur")</f>
        <v>https://masterplan.com/courses/9-tipps-fur-eine-erfolgreiche-lernkultur</v>
      </c>
    </row>
    <row r="334">
      <c r="A334" s="6" t="str">
        <f>IFERROR(__xludf.DUMMYFUNCTION("""COMPUTED_VALUE"""),"Startklar für die Zukunft: Erfolgreich Umschulen &amp; Weiterbilden")</f>
        <v>Startklar für die Zukunft: Erfolgreich Umschulen &amp; Weiterbilden</v>
      </c>
      <c r="B334" s="7" t="str">
        <f>IFERROR(__xludf.DUMMYFUNCTION("""COMPUTED_VALUE"""),"Closing the Skills Gap: How You Can Upskill &amp; Reskill")</f>
        <v>Closing the Skills Gap: How You Can Upskill &amp; Reskill</v>
      </c>
      <c r="C334" s="8" t="str">
        <f>IFERROR(__xludf.DUMMYFUNCTION("""COMPUTED_VALUE"""),"Das Weltwirtschaftsforum hat herausgefunden, dass bis 2025 97 Millionen neue Arbeitsplätze entstehen, während 85 Millionen aufgrund der technologischen Entwicklung verschwinden werden. Deshalb ist unsere Weiterentwicklung wichtiger denn je. Gehen wir es a"&amp;"n!")</f>
        <v>Das Weltwirtschaftsforum hat herausgefunden, dass bis 2025 97 Millionen neue Arbeitsplätze entstehen, während 85 Millionen aufgrund der technologischen Entwicklung verschwinden werden. Deshalb ist unsere Weiterentwicklung wichtiger denn je. Gehen wir es an!</v>
      </c>
      <c r="D334" s="8" t="str">
        <f>IFERROR(__xludf.DUMMYFUNCTION("""COMPUTED_VALUE"""),"As the World Economic Forum identified: by 2025, 97 million new jobs will emerge while 85 million jobs will disappear due to the technological evolution of the job market. This is why upskilling and reskilling is more relevant than ever. Let’s tackle this"&amp;" challenge!")</f>
        <v>As the World Economic Forum identified: by 2025, 97 million new jobs will emerge while 85 million jobs will disappear due to the technological evolution of the job market. This is why upskilling and reskilling is more relevant than ever. Let’s tackle this challenge!</v>
      </c>
      <c r="E334" s="9" t="str">
        <f>IFERROR(__xludf.DUMMYFUNCTION("""COMPUTED_VALUE"""),"Global Citizenship")</f>
        <v>Global Citizenship</v>
      </c>
      <c r="F334" s="10" t="str">
        <f>IFERROR(__xludf.DUMMYFUNCTION("""COMPUTED_VALUE"""),"AIHR - Academy to Innovate HR")</f>
        <v>AIHR - Academy to Innovate HR</v>
      </c>
      <c r="G334" s="11">
        <f>IFERROR(__xludf.DUMMYFUNCTION("""COMPUTED_VALUE"""),20.0)</f>
        <v>20</v>
      </c>
      <c r="H334" s="11">
        <f>IFERROR(__xludf.DUMMYFUNCTION("""COMPUTED_VALUE"""),8.0)</f>
        <v>8</v>
      </c>
      <c r="I334" s="12" t="str">
        <f>IFERROR(__xludf.DUMMYFUNCTION("""COMPUTED_VALUE"""),"English, German")</f>
        <v>English, German</v>
      </c>
      <c r="J334" s="12" t="str">
        <f>IFERROR(__xludf.DUMMYFUNCTION("""COMPUTED_VALUE"""),"English")</f>
        <v>English</v>
      </c>
      <c r="K334" s="13">
        <f>IFERROR(__xludf.DUMMYFUNCTION("""COMPUTED_VALUE"""),44771.0)</f>
        <v>44771</v>
      </c>
      <c r="L334" s="14" t="str">
        <f>IFERROR(__xludf.DUMMYFUNCTION("""COMPUTED_VALUE"""),"https://masterplan.com/courses/closing-skill-gap")</f>
        <v>https://masterplan.com/courses/closing-skill-gap</v>
      </c>
    </row>
    <row r="335">
      <c r="A335" s="15" t="str">
        <f>IFERROR(__xludf.DUMMYFUNCTION("""COMPUTED_VALUE"""),"Technologie, Transparenz, Vertrauen: Banken im Wandel")</f>
        <v>Technologie, Transparenz, Vertrauen: Banken im Wandel</v>
      </c>
      <c r="B335" s="16" t="str">
        <f>IFERROR(__xludf.DUMMYFUNCTION("""COMPUTED_VALUE"""),"The Banking Revolution: Technology, Trust, and Transparency")</f>
        <v>The Banking Revolution: Technology, Trust, and Transparency</v>
      </c>
      <c r="C335" s="17" t="str">
        <f>IFERROR(__xludf.DUMMYFUNCTION("""COMPUTED_VALUE"""),"Wie können sich Banken an veränderte Kundenanforderungen anpassen? In diesem Kurs sprechen die CEOs von ANZ und CommBank über die Auswirkungen von Digitalisierung und Globalisierung auf den Finanzsektor und darüber, wie Banken agil genug bleiben können, u"&amp;"m mitzuhalten.")</f>
        <v>Wie können sich Banken an veränderte Kundenanforderungen anpassen? In diesem Kurs sprechen die CEOs von ANZ und CommBank über die Auswirkungen von Digitalisierung und Globalisierung auf den Finanzsektor und darüber, wie Banken agil genug bleiben können, um mitzuhalten.</v>
      </c>
      <c r="D335" s="17" t="str">
        <f>IFERROR(__xludf.DUMMYFUNCTION("""COMPUTED_VALUE"""),"How can banks adapt to the changing demands of their customers? In this course, the CEOs of ANZ and CommBank share the effects of digitalization and globalization on the financial sector, and how traditional banks can stay agile enough to keep up.")</f>
        <v>How can banks adapt to the changing demands of their customers? In this course, the CEOs of ANZ and CommBank share the effects of digitalization and globalization on the financial sector, and how traditional banks can stay agile enough to keep up.</v>
      </c>
      <c r="E335" s="9" t="str">
        <f>IFERROR(__xludf.DUMMYFUNCTION("""COMPUTED_VALUE"""),"Global Citizenship")</f>
        <v>Global Citizenship</v>
      </c>
      <c r="F335" s="19" t="str">
        <f>IFERROR(__xludf.DUMMYFUNCTION("""COMPUTED_VALUE"""),"University of Auckland (Business School)")</f>
        <v>University of Auckland (Business School)</v>
      </c>
      <c r="G335" s="20">
        <f>IFERROR(__xludf.DUMMYFUNCTION("""COMPUTED_VALUE"""),22.0)</f>
        <v>22</v>
      </c>
      <c r="H335" s="20">
        <f>IFERROR(__xludf.DUMMYFUNCTION("""COMPUTED_VALUE"""),3.0)</f>
        <v>3</v>
      </c>
      <c r="I335" s="21" t="str">
        <f>IFERROR(__xludf.DUMMYFUNCTION("""COMPUTED_VALUE"""),"English, German")</f>
        <v>English, German</v>
      </c>
      <c r="J335" s="21" t="str">
        <f>IFERROR(__xludf.DUMMYFUNCTION("""COMPUTED_VALUE"""),"English")</f>
        <v>English</v>
      </c>
      <c r="K335" s="22">
        <f>IFERROR(__xludf.DUMMYFUNCTION("""COMPUTED_VALUE"""),44768.0)</f>
        <v>44768</v>
      </c>
      <c r="L335" s="23" t="str">
        <f>IFERROR(__xludf.DUMMYFUNCTION("""COMPUTED_VALUE"""),"https://masterplan.com/courses/technologie-transparenz-vertrauen-banken-im-wandel")</f>
        <v>https://masterplan.com/courses/technologie-transparenz-vertrauen-banken-im-wandel</v>
      </c>
    </row>
    <row r="336">
      <c r="A336" s="6" t="str">
        <f>IFERROR(__xludf.DUMMYFUNCTION("""COMPUTED_VALUE"""),"Einführung in Data Science II: Top Skills für Data Scientists")</f>
        <v>Einführung in Data Science II: Top Skills für Data Scientists</v>
      </c>
      <c r="B336" s="7" t="str">
        <f>IFERROR(__xludf.DUMMYFUNCTION("""COMPUTED_VALUE"""),"Introducing Data Science II: Top Data Scientist Skills")</f>
        <v>Introducing Data Science II: Top Data Scientist Skills</v>
      </c>
      <c r="C336" s="8" t="str">
        <f>IFERROR(__xludf.DUMMYFUNCTION("""COMPUTED_VALUE"""),"Data Science ist stark mit ihren Methoden verknüpft. In diesem Kurs bekommst du einen kurzen Überblick über Coden, Erhebung und statische Methoden, die in der Data Science genutzt werden. Aber keine Angst - es wird kein technisches Wissen vorausgesetzt!")</f>
        <v>Data Science ist stark mit ihren Methoden verknüpft. In diesem Kurs bekommst du einen kurzen Überblick über Coden, Erhebung und statische Methoden, die in der Data Science genutzt werden. Aber keine Angst - es wird kein technisches Wissen vorausgesetzt!</v>
      </c>
      <c r="D336" s="8" t="str">
        <f>IFERROR(__xludf.DUMMYFUNCTION("""COMPUTED_VALUE"""),"Data science is a field that is strongly associated with its methods and procedures. Here we've provided a brief overview of coding, sourcing, and the statistical methods that are used in data science. But don't worry– no technical knowledge needed!")</f>
        <v>Data science is a field that is strongly associated with its methods and procedures. Here we've provided a brief overview of coding, sourcing, and the statistical methods that are used in data science. But don't worry– no technical knowledge needed!</v>
      </c>
      <c r="E336" s="25" t="str">
        <f>IFERROR(__xludf.DUMMYFUNCTION("""COMPUTED_VALUE"""),"Digital Literacy")</f>
        <v>Digital Literacy</v>
      </c>
      <c r="F336" s="31" t="str">
        <f>IFERROR(__xludf.DUMMYFUNCTION("""COMPUTED_VALUE"""),"datalab.cc")</f>
        <v>datalab.cc</v>
      </c>
      <c r="G336" s="11">
        <f>IFERROR(__xludf.DUMMYFUNCTION("""COMPUTED_VALUE"""),21.0)</f>
        <v>21</v>
      </c>
      <c r="H336" s="11">
        <f>IFERROR(__xludf.DUMMYFUNCTION("""COMPUTED_VALUE"""),14.0)</f>
        <v>14</v>
      </c>
      <c r="I336" s="12" t="str">
        <f>IFERROR(__xludf.DUMMYFUNCTION("""COMPUTED_VALUE"""),"English, German")</f>
        <v>English, German</v>
      </c>
      <c r="J336" s="12" t="str">
        <f>IFERROR(__xludf.DUMMYFUNCTION("""COMPUTED_VALUE"""),"English")</f>
        <v>English</v>
      </c>
      <c r="K336" s="13">
        <f>IFERROR(__xludf.DUMMYFUNCTION("""COMPUTED_VALUE"""),44768.0)</f>
        <v>44768</v>
      </c>
      <c r="L336" s="14" t="str">
        <f>IFERROR(__xludf.DUMMYFUNCTION("""COMPUTED_VALUE"""),"https://masterplan.com/courses/einfuehrung-in-data-science-ii-top-skills-fuer-data-scientists")</f>
        <v>https://masterplan.com/courses/einfuehrung-in-data-science-ii-top-skills-fuer-data-scientists</v>
      </c>
    </row>
    <row r="337">
      <c r="A337" s="15" t="str">
        <f>IFERROR(__xludf.DUMMYFUNCTION("""COMPUTED_VALUE"""),"Einführung in Data Science III: Mit Data Storytelling zum Erfolg")</f>
        <v>Einführung in Data Science III: Mit Data Storytelling zum Erfolg</v>
      </c>
      <c r="B337" s="16" t="str">
        <f>IFERROR(__xludf.DUMMYFUNCTION("""COMPUTED_VALUE"""),"Introducing Data Science III: Tell Stories With Data")</f>
        <v>Introducing Data Science III: Tell Stories With Data</v>
      </c>
      <c r="C337" s="17" t="str">
        <f>IFERROR(__xludf.DUMMYFUNCTION("""COMPUTED_VALUE"""),"Wusstest du, dass sich 63% der Menschen an Geschichten, aber nur 5% an Statistiken erinnern können? Erfahre, wie du langweilig erscheinende Rohdaten in ansprechende Geschichten verwandelst und deinen Kund:innen damit eindrucksvolle Insights an die Hand gi"&amp;"bst!")</f>
        <v>Wusstest du, dass sich 63% der Menschen an Geschichten, aber nur 5% an Statistiken erinnern können? Erfahre, wie du langweilig erscheinende Rohdaten in ansprechende Geschichten verwandelst und deinen Kund:innen damit eindrucksvolle Insights an die Hand gibst!</v>
      </c>
      <c r="D337" s="17" t="str">
        <f>IFERROR(__xludf.DUMMYFUNCTION("""COMPUTED_VALUE"""),"Did you know that 63% of people can remember stories, while only 5% can remember statistics? Learn how to turn raw data into easy-to-read and easy-to-understand plain stories that help your clients turn insights into action.")</f>
        <v>Did you know that 63% of people can remember stories, while only 5% can remember statistics? Learn how to turn raw data into easy-to-read and easy-to-understand plain stories that help your clients turn insights into action.</v>
      </c>
      <c r="E337" s="25" t="str">
        <f>IFERROR(__xludf.DUMMYFUNCTION("""COMPUTED_VALUE"""),"Digital Literacy")</f>
        <v>Digital Literacy</v>
      </c>
      <c r="F337" s="30" t="str">
        <f>IFERROR(__xludf.DUMMYFUNCTION("""COMPUTED_VALUE"""),"datalab.cc")</f>
        <v>datalab.cc</v>
      </c>
      <c r="G337" s="20">
        <f>IFERROR(__xludf.DUMMYFUNCTION("""COMPUTED_VALUE"""),32.0)</f>
        <v>32</v>
      </c>
      <c r="H337" s="20">
        <f>IFERROR(__xludf.DUMMYFUNCTION("""COMPUTED_VALUE"""),13.0)</f>
        <v>13</v>
      </c>
      <c r="I337" s="21" t="str">
        <f>IFERROR(__xludf.DUMMYFUNCTION("""COMPUTED_VALUE"""),"English, German")</f>
        <v>English, German</v>
      </c>
      <c r="J337" s="21" t="str">
        <f>IFERROR(__xludf.DUMMYFUNCTION("""COMPUTED_VALUE"""),"English")</f>
        <v>English</v>
      </c>
      <c r="K337" s="22">
        <f>IFERROR(__xludf.DUMMYFUNCTION("""COMPUTED_VALUE"""),44768.0)</f>
        <v>44768</v>
      </c>
      <c r="L337" s="23" t="str">
        <f>IFERROR(__xludf.DUMMYFUNCTION("""COMPUTED_VALUE"""),"https://masterplan.com/courses/einfuehrung-in-data-science-iii-mit-data-storytelling-zum-erfolg")</f>
        <v>https://masterplan.com/courses/einfuehrung-in-data-science-iii-mit-data-storytelling-zum-erfolg</v>
      </c>
    </row>
    <row r="338">
      <c r="A338" s="6" t="str">
        <f>IFERROR(__xludf.DUMMYFUNCTION("""COMPUTED_VALUE"""),"Inclusive Leadership II: Stark durch Inklusion")</f>
        <v>Inclusive Leadership II: Stark durch Inklusion</v>
      </c>
      <c r="B338" s="7" t="str">
        <f>IFERROR(__xludf.DUMMYFUNCTION("""COMPUTED_VALUE"""),"Inclusive Leadership II: Strength in Numbers  ")</f>
        <v>Inclusive Leadership II: Strength in Numbers  </v>
      </c>
      <c r="C338" s="8" t="str">
        <f>IFERROR(__xludf.DUMMYFUNCTION("""COMPUTED_VALUE"""),"Come as You Are: 1991 ein Welthit, heute das Motto eines erfolgreichen Teams. Dieser Kurs zeigt dir, wo die gängigen Probleme in einem Unternehmen liegen und wie du sie proaktiv angehst!  Denn diverse Teams, sind starke Teams!")</f>
        <v>Come as You Are: 1991 ein Welthit, heute das Motto eines erfolgreichen Teams. Dieser Kurs zeigt dir, wo die gängigen Probleme in einem Unternehmen liegen und wie du sie proaktiv angehst!  Denn diverse Teams, sind starke Teams!</v>
      </c>
      <c r="D338" s="8" t="str">
        <f>IFERROR(__xludf.DUMMYFUNCTION("""COMPUTED_VALUE"""),"Come as You Are: Nirvana's hit is the motto for successful teams. This course shows you the typical issues that prevent companies from fostering an inclusive environment, and how each of those issues proactively – after all: diverse teams are strong teams"&amp;"!")</f>
        <v>Come as You Are: Nirvana's hit is the motto for successful teams. This course shows you the typical issues that prevent companies from fostering an inclusive environment, and how each of those issues proactively – after all: diverse teams are strong teams!</v>
      </c>
      <c r="E338" s="24" t="str">
        <f>IFERROR(__xludf.DUMMYFUNCTION("""COMPUTED_VALUE"""),"Emotional Intelligence")</f>
        <v>Emotional Intelligence</v>
      </c>
      <c r="F338" s="10" t="str">
        <f>IFERROR(__xludf.DUMMYFUNCTION("""COMPUTED_VALUE"""),"Leaders von Morgen -")</f>
        <v>Leaders von Morgen -</v>
      </c>
      <c r="G338" s="11">
        <f>IFERROR(__xludf.DUMMYFUNCTION("""COMPUTED_VALUE"""),82.0)</f>
        <v>82</v>
      </c>
      <c r="H338" s="11">
        <f>IFERROR(__xludf.DUMMYFUNCTION("""COMPUTED_VALUE"""),32.0)</f>
        <v>32</v>
      </c>
      <c r="I338" s="12" t="str">
        <f>IFERROR(__xludf.DUMMYFUNCTION("""COMPUTED_VALUE"""),"English, German")</f>
        <v>English, German</v>
      </c>
      <c r="J338" s="12" t="str">
        <f>IFERROR(__xludf.DUMMYFUNCTION("""COMPUTED_VALUE"""),"German")</f>
        <v>German</v>
      </c>
      <c r="K338" s="13">
        <f>IFERROR(__xludf.DUMMYFUNCTION("""COMPUTED_VALUE"""),44768.0)</f>
        <v>44768</v>
      </c>
      <c r="L338" s="14" t="str">
        <f>IFERROR(__xludf.DUMMYFUNCTION("""COMPUTED_VALUE"""),"https://masterplan.com/courses/inclusive-leadership-ii-stark-durch-inklusion")</f>
        <v>https://masterplan.com/courses/inclusive-leadership-ii-stark-durch-inklusion</v>
      </c>
    </row>
    <row r="339">
      <c r="A339" s="15" t="str">
        <f>IFERROR(__xludf.DUMMYFUNCTION("""COMPUTED_VALUE"""),"Neuigkeiten in KI &amp; Tech Juli I")</f>
        <v>Neuigkeiten in KI &amp; Tech Juli I</v>
      </c>
      <c r="B339" s="16" t="str">
        <f>IFERROR(__xludf.DUMMYFUNCTION("""COMPUTED_VALUE"""),"News in AI &amp; Tech July I.")</f>
        <v>News in AI &amp; Tech July I.</v>
      </c>
      <c r="C339" s="17" t="str">
        <f>IFERROR(__xludf.DUMMYFUNCTION("""COMPUTED_VALUE"""),"Celsius, eine der größten Kryptobanken, hat Konkurs angemeldet, die größte Datenpanne aller Zeiten, 60 selbstfahrende Autos verunglückten, Meta lässt mit einer neuen KI-Übersetzung keine Sprache zurück und noch viel mehr in dieser Woche in Tech - Ginaluca"&amp;"s Updates zu den neuesten Dingen, die in Tech passiert sind.")</f>
        <v>Celsius, eine der größten Kryptobanken, hat Konkurs angemeldet, die größte Datenpanne aller Zeiten, 60 selbstfahrende Autos verunglückten, Meta lässt mit einer neuen KI-Übersetzung keine Sprache zurück und noch viel mehr in dieser Woche in Tech - Ginalucas Updates zu den neuesten Dingen, die in Tech passiert sind.</v>
      </c>
      <c r="D339" s="17" t="str">
        <f>IFERROR(__xludf.DUMMYFUNCTION("""COMPUTED_VALUE"""),"Celsius, one of the biggest crypto banks, has filed for bankruptcy, the biggest data break ever, 60 Self-driving cars crashed, Meta's new AI translation won't leave anyone behind, and even more in this week in tech - Ginaluca’s updates on newest things th"&amp;"at happened in tech.")</f>
        <v>Celsius, one of the biggest crypto banks, has filed for bankruptcy, the biggest data break ever, 60 Self-driving cars crashed, Meta's new AI translation won't leave anyone behind, and even more in this week in tech - Ginaluca’s updates on newest things that happened in tech.</v>
      </c>
      <c r="E339" s="25" t="str">
        <f>IFERROR(__xludf.DUMMYFUNCTION("""COMPUTED_VALUE"""),"Digital Literacy")</f>
        <v>Digital Literacy</v>
      </c>
      <c r="F339" s="19" t="str">
        <f>IFERROR(__xludf.DUMMYFUNCTION("""COMPUTED_VALUE"""),"AI Academy - Gianluca Mauro")</f>
        <v>AI Academy - Gianluca Mauro</v>
      </c>
      <c r="G339" s="20">
        <f>IFERROR(__xludf.DUMMYFUNCTION("""COMPUTED_VALUE"""),12.0)</f>
        <v>12</v>
      </c>
      <c r="H339" s="20">
        <f>IFERROR(__xludf.DUMMYFUNCTION("""COMPUTED_VALUE"""),1.0)</f>
        <v>1</v>
      </c>
      <c r="I339" s="21" t="str">
        <f>IFERROR(__xludf.DUMMYFUNCTION("""COMPUTED_VALUE"""),"English, German")</f>
        <v>English, German</v>
      </c>
      <c r="J339" s="21" t="str">
        <f>IFERROR(__xludf.DUMMYFUNCTION("""COMPUTED_VALUE"""),"English")</f>
        <v>English</v>
      </c>
      <c r="K339" s="22">
        <f>IFERROR(__xludf.DUMMYFUNCTION("""COMPUTED_VALUE"""),44767.0)</f>
        <v>44767</v>
      </c>
      <c r="L339" s="23" t="str">
        <f>IFERROR(__xludf.DUMMYFUNCTION("""COMPUTED_VALUE"""),"https://masterplan.com/courses/tech-updates-july-i")</f>
        <v>https://masterplan.com/courses/tech-updates-july-i</v>
      </c>
    </row>
    <row r="340">
      <c r="A340" s="6" t="str">
        <f>IFERROR(__xludf.DUMMYFUNCTION("""COMPUTED_VALUE"""),"Unternehmenskultur &amp; soziale Verantwortung")</f>
        <v>Unternehmenskultur &amp; soziale Verantwortung</v>
      </c>
      <c r="B340" s="7" t="str">
        <f>IFERROR(__xludf.DUMMYFUNCTION("""COMPUTED_VALUE"""),"Company Culture &amp; Corporate Responsibility")</f>
        <v>Company Culture &amp; Corporate Responsibility</v>
      </c>
      <c r="C340" s="8" t="str">
        <f>IFERROR(__xludf.DUMMYFUNCTION("""COMPUTED_VALUE"""),"Rebranding bedeutet nicht, ein neues Logo zu kreieren. Viel mehr geht es um die Veränderung der Unternehmenskultur durch authentische Führung, verantwortungsbewusste Mitarbeitende, emotionale Intelligenz und das Verständnis, welche Faktoren nachhaltig zum"&amp;" Erfolg führen.")</f>
        <v>Rebranding bedeutet nicht, ein neues Logo zu kreieren. Viel mehr geht es um die Veränderung der Unternehmenskultur durch authentische Führung, verantwortungsbewusste Mitarbeitende, emotionale Intelligenz und das Verständnis, welche Faktoren nachhaltig zum Erfolg führen.</v>
      </c>
      <c r="D340" s="8" t="str">
        <f>IFERROR(__xludf.DUMMYFUNCTION("""COMPUTED_VALUE"""),"How does a company change its culture, and why? Rebranding is about more than a new logo– it's about transforming the culture through authentic leadership, responsible followers, emotional intelligence, and understanding which factors translate to real su"&amp;"ccess.")</f>
        <v>How does a company change its culture, and why? Rebranding is about more than a new logo– it's about transforming the culture through authentic leadership, responsible followers, emotional intelligence, and understanding which factors translate to real success.</v>
      </c>
      <c r="E340" s="9" t="str">
        <f>IFERROR(__xludf.DUMMYFUNCTION("""COMPUTED_VALUE"""),"Global Citizenship")</f>
        <v>Global Citizenship</v>
      </c>
      <c r="F340" s="10" t="str">
        <f>IFERROR(__xludf.DUMMYFUNCTION("""COMPUTED_VALUE"""),"University of Auckland - ")</f>
        <v>University of Auckland - </v>
      </c>
      <c r="G340" s="11">
        <f>IFERROR(__xludf.DUMMYFUNCTION("""COMPUTED_VALUE"""),101.0)</f>
        <v>101</v>
      </c>
      <c r="H340" s="11">
        <f>IFERROR(__xludf.DUMMYFUNCTION("""COMPUTED_VALUE"""),13.0)</f>
        <v>13</v>
      </c>
      <c r="I340" s="12" t="str">
        <f>IFERROR(__xludf.DUMMYFUNCTION("""COMPUTED_VALUE"""),"English, German")</f>
        <v>English, German</v>
      </c>
      <c r="J340" s="12" t="str">
        <f>IFERROR(__xludf.DUMMYFUNCTION("""COMPUTED_VALUE"""),"English")</f>
        <v>English</v>
      </c>
      <c r="K340" s="13">
        <f>IFERROR(__xludf.DUMMYFUNCTION("""COMPUTED_VALUE"""),44767.0)</f>
        <v>44767</v>
      </c>
      <c r="L340" s="14" t="str">
        <f>IFERROR(__xludf.DUMMYFUNCTION("""COMPUTED_VALUE"""),"https://masterplan.com/courses/unternehmenskultur-und-soziale-verantwortung")</f>
        <v>https://masterplan.com/courses/unternehmenskultur-und-soziale-verantwortung</v>
      </c>
    </row>
    <row r="341">
      <c r="A341" s="15" t="str">
        <f>IFERROR(__xludf.DUMMYFUNCTION("""COMPUTED_VALUE"""),"Inclusive Leadership I: Es ist Zeit für mehr Diversität")</f>
        <v>Inclusive Leadership I: Es ist Zeit für mehr Diversität</v>
      </c>
      <c r="B341" s="16" t="str">
        <f>IFERROR(__xludf.DUMMYFUNCTION("""COMPUTED_VALUE"""),"Inclusive Leadership I: It's About Time for Diversity")</f>
        <v>Inclusive Leadership I: It's About Time for Diversity</v>
      </c>
      <c r="C341" s="17" t="str">
        <f>IFERROR(__xludf.DUMMYFUNCTION("""COMPUTED_VALUE"""),"Führungskräfte, eure Zeit ist gekommen! Diversität und Inklusion sind mehr als nur Buzzwords - warum nicht als Führungskraft diese Themen nach vorne bringen? Erfahre in diesem Kurs, was Inclusive Leadership ist und was du benötigst, um diesen Führungsstil"&amp;" umzusetzen!")</f>
        <v>Führungskräfte, eure Zeit ist gekommen! Diversität und Inklusion sind mehr als nur Buzzwords - warum nicht als Führungskraft diese Themen nach vorne bringen? Erfahre in diesem Kurs, was Inclusive Leadership ist und was du benötigst, um diesen Führungsstil umzusetzen!</v>
      </c>
      <c r="D341" s="17" t="str">
        <f>IFERROR(__xludf.DUMMYFUNCTION("""COMPUTED_VALUE"""),"Leaders, your time has come! Diversity and inclusion are more than just buzzwords - why not bring these topics to the forefront as a leader? In this course, you learn what inclusive leadership is and what you need to implement this leadership style!")</f>
        <v>Leaders, your time has come! Diversity and inclusion are more than just buzzwords - why not bring these topics to the forefront as a leader? In this course, you learn what inclusive leadership is and what you need to implement this leadership style!</v>
      </c>
      <c r="E341" s="24" t="str">
        <f>IFERROR(__xludf.DUMMYFUNCTION("""COMPUTED_VALUE"""),"Emotional Intelligence")</f>
        <v>Emotional Intelligence</v>
      </c>
      <c r="F341" s="19" t="str">
        <f>IFERROR(__xludf.DUMMYFUNCTION("""COMPUTED_VALUE"""),"Leaders von Morgen -")</f>
        <v>Leaders von Morgen -</v>
      </c>
      <c r="G341" s="20">
        <f>IFERROR(__xludf.DUMMYFUNCTION("""COMPUTED_VALUE"""),77.0)</f>
        <v>77</v>
      </c>
      <c r="H341" s="20">
        <f>IFERROR(__xludf.DUMMYFUNCTION("""COMPUTED_VALUE"""),28.0)</f>
        <v>28</v>
      </c>
      <c r="I341" s="21" t="str">
        <f>IFERROR(__xludf.DUMMYFUNCTION("""COMPUTED_VALUE"""),"English, German")</f>
        <v>English, German</v>
      </c>
      <c r="J341" s="21" t="str">
        <f>IFERROR(__xludf.DUMMYFUNCTION("""COMPUTED_VALUE"""),"German")</f>
        <v>German</v>
      </c>
      <c r="K341" s="22">
        <f>IFERROR(__xludf.DUMMYFUNCTION("""COMPUTED_VALUE"""),44767.0)</f>
        <v>44767</v>
      </c>
      <c r="L341" s="23" t="str">
        <f>IFERROR(__xludf.DUMMYFUNCTION("""COMPUTED_VALUE"""),"https://masterplan.com/courses/inclusive-leadership-i-es-ist-zeit-fuer-mehr-diversitaet")</f>
        <v>https://masterplan.com/courses/inclusive-leadership-i-es-ist-zeit-fuer-mehr-diversitaet</v>
      </c>
    </row>
    <row r="342">
      <c r="A342" s="6" t="str">
        <f>IFERROR(__xludf.DUMMYFUNCTION("""COMPUTED_VALUE"""),"Einführung in Data Science I: Data Science ist sexy!")</f>
        <v>Einführung in Data Science I: Data Science ist sexy!</v>
      </c>
      <c r="B342" s="7" t="str">
        <f>IFERROR(__xludf.DUMMYFUNCTION("""COMPUTED_VALUE"""),"Introducing Data Science I: Data Science Is Sexy!")</f>
        <v>Introducing Data Science I: Data Science Is Sexy!</v>
      </c>
      <c r="C342" s="8" t="str">
        <f>IFERROR(__xludf.DUMMYFUNCTION("""COMPUTED_VALUE"""),"Was genau versteckt sich hinter dem Begriff ""Data Science""? Coding, Sourcing, wie bitte? Full-stack-„Unicorn“ hast du auch noch nie gehört? Aufgepasst, dieser Kurs vermittelt dir jede Menge Wissen mit einer Prise Sexappeal!")</f>
        <v>Was genau versteckt sich hinter dem Begriff "Data Science"? Coding, Sourcing, wie bitte? Full-stack-„Unicorn“ hast du auch noch nie gehört? Aufgepasst, dieser Kurs vermittelt dir jede Menge Wissen mit einer Prise Sexappeal!</v>
      </c>
      <c r="D342" s="8" t="str">
        <f>IFERROR(__xludf.DUMMYFUNCTION("""COMPUTED_VALUE"""),"What exactly is behind the term ""data science""? Coding, sourcing– what's the difference? And what about a full-stack “unicorn”? Watch out, this course gives you a lot of knowledge with a pinch of sex appeal!")</f>
        <v>What exactly is behind the term "data science"? Coding, sourcing– what's the difference? And what about a full-stack “unicorn”? Watch out, this course gives you a lot of knowledge with a pinch of sex appeal!</v>
      </c>
      <c r="E342" s="25" t="str">
        <f>IFERROR(__xludf.DUMMYFUNCTION("""COMPUTED_VALUE"""),"Digital Literacy")</f>
        <v>Digital Literacy</v>
      </c>
      <c r="F342" s="31" t="str">
        <f>IFERROR(__xludf.DUMMYFUNCTION("""COMPUTED_VALUE"""),"datalab.cc")</f>
        <v>datalab.cc</v>
      </c>
      <c r="G342" s="11">
        <f>IFERROR(__xludf.DUMMYFUNCTION("""COMPUTED_VALUE"""),46.0)</f>
        <v>46</v>
      </c>
      <c r="H342" s="11">
        <f>IFERROR(__xludf.DUMMYFUNCTION("""COMPUTED_VALUE"""),27.0)</f>
        <v>27</v>
      </c>
      <c r="I342" s="12" t="str">
        <f>IFERROR(__xludf.DUMMYFUNCTION("""COMPUTED_VALUE"""),"English, German")</f>
        <v>English, German</v>
      </c>
      <c r="J342" s="12" t="str">
        <f>IFERROR(__xludf.DUMMYFUNCTION("""COMPUTED_VALUE"""),"English")</f>
        <v>English</v>
      </c>
      <c r="K342" s="13">
        <f>IFERROR(__xludf.DUMMYFUNCTION("""COMPUTED_VALUE"""),44767.0)</f>
        <v>44767</v>
      </c>
      <c r="L342" s="14" t="str">
        <f>IFERROR(__xludf.DUMMYFUNCTION("""COMPUTED_VALUE"""),"https://masterplan.com/courses/einfuehrung-in-data-science-i-data-science-ist-sexy")</f>
        <v>https://masterplan.com/courses/einfuehrung-in-data-science-i-data-science-ist-sexy</v>
      </c>
    </row>
    <row r="343">
      <c r="A343" s="15" t="str">
        <f>IFERROR(__xludf.DUMMYFUNCTION("""COMPUTED_VALUE"""),"Wirtschaft, Macht &amp; Politik: Krisenmanagement im Unternehmen")</f>
        <v>Wirtschaft, Macht &amp; Politik: Krisenmanagement im Unternehmen</v>
      </c>
      <c r="B343" s="16" t="str">
        <f>IFERROR(__xludf.DUMMYFUNCTION("""COMPUTED_VALUE"""),"The Economic Forces Behind Global Politics")</f>
        <v>The Economic Forces Behind Global Politics</v>
      </c>
      <c r="C343" s="17" t="str">
        <f>IFERROR(__xludf.DUMMYFUNCTION("""COMPUTED_VALUE"""),"Wie beeinflussen sich Wirtschaft und Politik gegenseitig? Fachleute der University of Auckland diskutieren über Ungleichheit, Einmischung von außen und die Auswirkungen von Gewalt auf die Wirtschaft sowie darüber, wie die Wirtschaft die richtigen Vorberei"&amp;"tungen trifft.")</f>
        <v>Wie beeinflussen sich Wirtschaft und Politik gegenseitig? Fachleute der University of Auckland diskutieren über Ungleichheit, Einmischung von außen und die Auswirkungen von Gewalt auf die Wirtschaft sowie darüber, wie die Wirtschaft die richtigen Vorbereitungen trifft.</v>
      </c>
      <c r="D343" s="17" t="str">
        <f>IFERROR(__xludf.DUMMYFUNCTION("""COMPUTED_VALUE"""),"How do economic forces affect the political climate, and vice versa? Experts from the University of Auckland's Business School discuss inequality,  outside intervention, and the effects of violence on the economy, plus how private and public firms should "&amp;"be prepared.")</f>
        <v>How do economic forces affect the political climate, and vice versa? Experts from the University of Auckland's Business School discuss inequality,  outside intervention, and the effects of violence on the economy, plus how private and public firms should be prepared.</v>
      </c>
      <c r="E343" s="26" t="str">
        <f>IFERROR(__xludf.DUMMYFUNCTION("""COMPUTED_VALUE"""),"Collaboration and Leadership")</f>
        <v>Collaboration and Leadership</v>
      </c>
      <c r="F343" s="19" t="str">
        <f>IFERROR(__xludf.DUMMYFUNCTION("""COMPUTED_VALUE"""),"University of Auckland (Business School)")</f>
        <v>University of Auckland (Business School)</v>
      </c>
      <c r="G343" s="20">
        <f>IFERROR(__xludf.DUMMYFUNCTION("""COMPUTED_VALUE"""),63.0)</f>
        <v>63</v>
      </c>
      <c r="H343" s="20">
        <f>IFERROR(__xludf.DUMMYFUNCTION("""COMPUTED_VALUE"""),7.0)</f>
        <v>7</v>
      </c>
      <c r="I343" s="21" t="str">
        <f>IFERROR(__xludf.DUMMYFUNCTION("""COMPUTED_VALUE"""),"English, German")</f>
        <v>English, German</v>
      </c>
      <c r="J343" s="21" t="str">
        <f>IFERROR(__xludf.DUMMYFUNCTION("""COMPUTED_VALUE"""),"English")</f>
        <v>English</v>
      </c>
      <c r="K343" s="22">
        <f>IFERROR(__xludf.DUMMYFUNCTION("""COMPUTED_VALUE"""),44757.0)</f>
        <v>44757</v>
      </c>
      <c r="L343" s="23" t="str">
        <f>IFERROR(__xludf.DUMMYFUNCTION("""COMPUTED_VALUE"""),"https://masterplan.com/courses/wirtschaft-macht-und-politik-krisenmanagement-im-unternehmen")</f>
        <v>https://masterplan.com/courses/wirtschaft-macht-und-politik-krisenmanagement-im-unternehmen</v>
      </c>
    </row>
    <row r="344">
      <c r="A344" s="6" t="str">
        <f>IFERROR(__xludf.DUMMYFUNCTION("""COMPUTED_VALUE"""),"Rosige Aussichten: Dein Unternehmen im globalen Wettbewerb")</f>
        <v>Rosige Aussichten: Dein Unternehmen im globalen Wettbewerb</v>
      </c>
      <c r="B344" s="7" t="str">
        <f>IFERROR(__xludf.DUMMYFUNCTION("""COMPUTED_VALUE"""),"Competing on a Global Scale")</f>
        <v>Competing on a Global Scale</v>
      </c>
      <c r="C344" s="8" t="str">
        <f>IFERROR(__xludf.DUMMYFUNCTION("""COMPUTED_VALUE"""),"Wie können kleine Unternehmen mit globalen Marken konkurrieren? Welche Fähigkeiten sind für den internationalen Erfolg wichtig? Experten der University of Auckland Business School sprechen über Lieferketten, kompetenzbasierte Wirtschaft und globale Erfolg"&amp;"sgeschichten.")</f>
        <v>Wie können kleine Unternehmen mit globalen Marken konkurrieren? Welche Fähigkeiten sind für den internationalen Erfolg wichtig? Experten der University of Auckland Business School sprechen über Lieferketten, kompetenzbasierte Wirtschaft und globale Erfolgsgeschichten.</v>
      </c>
      <c r="D344" s="8" t="str">
        <f>IFERROR(__xludf.DUMMYFUNCTION("""COMPUTED_VALUE"""),"How can small companies compete against global brands? What skills do you need to succeed internationally? Experts from the University of Auckland Business School discuss supply chains, the skills-based economy, and what we can learn from  global success "&amp;"stories.")</f>
        <v>How can small companies compete against global brands? What skills do you need to succeed internationally? Experts from the University of Auckland Business School discuss supply chains, the skills-based economy, and what we can learn from  global success stories.</v>
      </c>
      <c r="E344" s="26" t="str">
        <f>IFERROR(__xludf.DUMMYFUNCTION("""COMPUTED_VALUE"""),"Collaboration and Leadership")</f>
        <v>Collaboration and Leadership</v>
      </c>
      <c r="F344" s="10" t="str">
        <f>IFERROR(__xludf.DUMMYFUNCTION("""COMPUTED_VALUE"""),"University of Auckland (Business School)")</f>
        <v>University of Auckland (Business School)</v>
      </c>
      <c r="G344" s="11">
        <f>IFERROR(__xludf.DUMMYFUNCTION("""COMPUTED_VALUE"""),36.0)</f>
        <v>36</v>
      </c>
      <c r="H344" s="11">
        <f>IFERROR(__xludf.DUMMYFUNCTION("""COMPUTED_VALUE"""),5.0)</f>
        <v>5</v>
      </c>
      <c r="I344" s="12" t="str">
        <f>IFERROR(__xludf.DUMMYFUNCTION("""COMPUTED_VALUE"""),"English, German")</f>
        <v>English, German</v>
      </c>
      <c r="J344" s="12" t="str">
        <f>IFERROR(__xludf.DUMMYFUNCTION("""COMPUTED_VALUE"""),"English")</f>
        <v>English</v>
      </c>
      <c r="K344" s="13">
        <f>IFERROR(__xludf.DUMMYFUNCTION("""COMPUTED_VALUE"""),44757.0)</f>
        <v>44757</v>
      </c>
      <c r="L344" s="14" t="str">
        <f>IFERROR(__xludf.DUMMYFUNCTION("""COMPUTED_VALUE"""),"https://masterplan.com/courses/rosige-aussichten-dein-unternehmen-im-globalen-wettbewerb")</f>
        <v>https://masterplan.com/courses/rosige-aussichten-dein-unternehmen-im-globalen-wettbewerb</v>
      </c>
    </row>
    <row r="345">
      <c r="A345" s="15" t="str">
        <f>IFERROR(__xludf.DUMMYFUNCTION("""COMPUTED_VALUE"""),"Schluss mit Schockstarre: Gestalte deinen Markt aktiv mit")</f>
        <v>Schluss mit Schockstarre: Gestalte deinen Markt aktiv mit</v>
      </c>
      <c r="B345" s="16" t="str">
        <f>IFERROR(__xludf.DUMMYFUNCTION("""COMPUTED_VALUE"""),"Shape the Market to Thrive in Uncertainty")</f>
        <v>Shape the Market to Thrive in Uncertainty</v>
      </c>
      <c r="C345" s="17" t="str">
        <f>IFERROR(__xludf.DUMMYFUNCTION("""COMPUTED_VALUE"""),"Technologische Umbrüche und weltweite Entwicklungen machen die Märkte unsicherer als je zuvor. Wie kannst du sicherstellen, dass dein Unternehmen, dein Produkt und deine Fähigkeiten sich bewähren? Hier erklären Expert:innen, wie du dich auf die Zukunft vo"&amp;"rbereitest.")</f>
        <v>Technologische Umbrüche und weltweite Entwicklungen machen die Märkte unsicherer als je zuvor. Wie kannst du sicherstellen, dass dein Unternehmen, dein Produkt und deine Fähigkeiten sich bewähren? Hier erklären Expert:innen, wie du dich auf die Zukunft vorbereitest.</v>
      </c>
      <c r="D345" s="17" t="str">
        <f>IFERROR(__xludf.DUMMYFUNCTION("""COMPUTED_VALUE"""),"With tech disruptions and global changes, markets have never been more uncertain. How can you make sure your business, your product, and your own skills can stand the test of time? Learn from experts how to future-proof yourself to thrive in risky times.")</f>
        <v>With tech disruptions and global changes, markets have never been more uncertain. How can you make sure your business, your product, and your own skills can stand the test of time? Learn from experts how to future-proof yourself to thrive in risky times.</v>
      </c>
      <c r="E345" s="26" t="str">
        <f>IFERROR(__xludf.DUMMYFUNCTION("""COMPUTED_VALUE"""),"Collaboration and Leadership")</f>
        <v>Collaboration and Leadership</v>
      </c>
      <c r="F345" s="19" t="str">
        <f>IFERROR(__xludf.DUMMYFUNCTION("""COMPUTED_VALUE"""),"University of Auckland (Business School)")</f>
        <v>University of Auckland (Business School)</v>
      </c>
      <c r="G345" s="20">
        <f>IFERROR(__xludf.DUMMYFUNCTION("""COMPUTED_VALUE"""),43.0)</f>
        <v>43</v>
      </c>
      <c r="H345" s="20">
        <f>IFERROR(__xludf.DUMMYFUNCTION("""COMPUTED_VALUE"""),6.0)</f>
        <v>6</v>
      </c>
      <c r="I345" s="21" t="str">
        <f>IFERROR(__xludf.DUMMYFUNCTION("""COMPUTED_VALUE"""),"English, German")</f>
        <v>English, German</v>
      </c>
      <c r="J345" s="21" t="str">
        <f>IFERROR(__xludf.DUMMYFUNCTION("""COMPUTED_VALUE"""),"English")</f>
        <v>English</v>
      </c>
      <c r="K345" s="22">
        <f>IFERROR(__xludf.DUMMYFUNCTION("""COMPUTED_VALUE"""),44757.0)</f>
        <v>44757</v>
      </c>
      <c r="L345" s="23" t="str">
        <f>IFERROR(__xludf.DUMMYFUNCTION("""COMPUTED_VALUE"""),"https://masterplan.com/courses/schluss-mit-schockstarre-gestalte-deinen-markt-aktiv-mit")</f>
        <v>https://masterplan.com/courses/schluss-mit-schockstarre-gestalte-deinen-markt-aktiv-mit</v>
      </c>
    </row>
    <row r="346">
      <c r="A346" s="6" t="str">
        <f>IFERROR(__xludf.DUMMYFUNCTION("""COMPUTED_VALUE"""),"Mit der Technologie von morgen Schritt halten")</f>
        <v>Mit der Technologie von morgen Schritt halten</v>
      </c>
      <c r="B346" s="7" t="str">
        <f>IFERROR(__xludf.DUMMYFUNCTION("""COMPUTED_VALUE"""),"Co-Evolving with the Tech of Tomorrow")</f>
        <v>Co-Evolving with the Tech of Tomorrow</v>
      </c>
      <c r="C346" s="8" t="str">
        <f>IFERROR(__xludf.DUMMYFUNCTION("""COMPUTED_VALUE"""),"Die Technologie entwickelt sich immer schneller. Stelle daher sicher, dass dein Unternehmen mithält! Expert:innen der University of Auckland Business School diskutieren das Potenzial von innovativen und bedeutungsvollen Technologien wie KI oder Blockchain"&amp;".")</f>
        <v>Die Technologie entwickelt sich immer schneller. Stelle daher sicher, dass dein Unternehmen mithält! Expert:innen der University of Auckland Business School diskutieren das Potenzial von innovativen und bedeutungsvollen Technologien wie KI oder Blockchain.</v>
      </c>
      <c r="D346" s="8" t="str">
        <f>IFERROR(__xludf.DUMMYFUNCTION("""COMPUTED_VALUE"""),"Technology is evolving faster than ever– make sure your business evolves with it! Experts from the University of Auckland Business School discuss the potential for technology like AI or the blockchain to be integrated into businesses in innovative and imp"&amp;"actful ways.")</f>
        <v>Technology is evolving faster than ever– make sure your business evolves with it! Experts from the University of Auckland Business School discuss the potential for technology like AI or the blockchain to be integrated into businesses in innovative and impactful ways.</v>
      </c>
      <c r="E346" s="25" t="str">
        <f>IFERROR(__xludf.DUMMYFUNCTION("""COMPUTED_VALUE"""),"Digital Literacy")</f>
        <v>Digital Literacy</v>
      </c>
      <c r="F346" s="10" t="str">
        <f>IFERROR(__xludf.DUMMYFUNCTION("""COMPUTED_VALUE"""),"University of Auckland (Business School)")</f>
        <v>University of Auckland (Business School)</v>
      </c>
      <c r="G346" s="11">
        <f>IFERROR(__xludf.DUMMYFUNCTION("""COMPUTED_VALUE"""),43.0)</f>
        <v>43</v>
      </c>
      <c r="H346" s="11">
        <f>IFERROR(__xludf.DUMMYFUNCTION("""COMPUTED_VALUE"""),7.0)</f>
        <v>7</v>
      </c>
      <c r="I346" s="12" t="str">
        <f>IFERROR(__xludf.DUMMYFUNCTION("""COMPUTED_VALUE"""),"English, German")</f>
        <v>English, German</v>
      </c>
      <c r="J346" s="12" t="str">
        <f>IFERROR(__xludf.DUMMYFUNCTION("""COMPUTED_VALUE"""),"English")</f>
        <v>English</v>
      </c>
      <c r="K346" s="13">
        <f>IFERROR(__xludf.DUMMYFUNCTION("""COMPUTED_VALUE"""),44757.0)</f>
        <v>44757</v>
      </c>
      <c r="L346" s="14" t="str">
        <f>IFERROR(__xludf.DUMMYFUNCTION("""COMPUTED_VALUE"""),"https://masterplan.com/courses/mit-der-technologie-von-morgen-schritt-halten")</f>
        <v>https://masterplan.com/courses/mit-der-technologie-von-morgen-schritt-halten</v>
      </c>
    </row>
    <row r="347">
      <c r="A347" s="15" t="str">
        <f>IFERROR(__xludf.DUMMYFUNCTION("""COMPUTED_VALUE"""),"Mit links: Online Meetings &amp; Workshops erfolgreich moderieren")</f>
        <v>Mit links: Online Meetings &amp; Workshops erfolgreich moderieren</v>
      </c>
      <c r="B347" s="16" t="str">
        <f>IFERROR(__xludf.DUMMYFUNCTION("""COMPUTED_VALUE"""),"Fail-Proof Approaches for Workshop Facilitation")</f>
        <v>Fail-Proof Approaches for Workshop Facilitation</v>
      </c>
      <c r="C347" s="17" t="str">
        <f>IFERROR(__xludf.DUMMYFUNCTION("""COMPUTED_VALUE"""),"Du sollst einen Workshop für acht Leute organisieren - oder vielleicht sogar 50? Deine Mitarbeitende runzeln die Stirn, wenn du ihnen Aufgaben gibst? Jonathan Courtney gibt dir Strategien an die Hand, mit denen du sämtliche Workshop-Hindernisse überwindes"&amp;"t.")</f>
        <v>Du sollst einen Workshop für acht Leute organisieren - oder vielleicht sogar 50? Deine Mitarbeitende runzeln die Stirn, wenn du ihnen Aufgaben gibst? Jonathan Courtney gibt dir Strategien an die Hand, mit denen du sämtliche Workshop-Hindernisse überwindest.</v>
      </c>
      <c r="D347" s="17" t="str">
        <f>IFERROR(__xludf.DUMMYFUNCTION("""COMPUTED_VALUE"""),"Responsible for holding a workshop for eight people– or for fifty? Do people scratch their heads in confusion after you assign them a task? Facilitation expert Jonathan Courtney will arm you with approaches and strategies to overcome any challenge that ac"&amp;"companies running a workshop. ")</f>
        <v>Responsible for holding a workshop for eight people– or for fifty? Do people scratch their heads in confusion after you assign them a task? Facilitation expert Jonathan Courtney will arm you with approaches and strategies to overcome any challenge that accompanies running a workshop. </v>
      </c>
      <c r="E347" s="28" t="str">
        <f>IFERROR(__xludf.DUMMYFUNCTION("""COMPUTED_VALUE"""),"Communication")</f>
        <v>Communication</v>
      </c>
      <c r="F347" s="19" t="str">
        <f>IFERROR(__xludf.DUMMYFUNCTION("""COMPUTED_VALUE"""),"AJ&amp;Smart")</f>
        <v>AJ&amp;Smart</v>
      </c>
      <c r="G347" s="20">
        <f>IFERROR(__xludf.DUMMYFUNCTION("""COMPUTED_VALUE"""),48.0)</f>
        <v>48</v>
      </c>
      <c r="H347" s="20">
        <f>IFERROR(__xludf.DUMMYFUNCTION("""COMPUTED_VALUE"""),17.0)</f>
        <v>17</v>
      </c>
      <c r="I347" s="21" t="str">
        <f>IFERROR(__xludf.DUMMYFUNCTION("""COMPUTED_VALUE"""),"English, German")</f>
        <v>English, German</v>
      </c>
      <c r="J347" s="21" t="str">
        <f>IFERROR(__xludf.DUMMYFUNCTION("""COMPUTED_VALUE"""),"English")</f>
        <v>English</v>
      </c>
      <c r="K347" s="22">
        <f>IFERROR(__xludf.DUMMYFUNCTION("""COMPUTED_VALUE"""),44757.0)</f>
        <v>44757</v>
      </c>
      <c r="L347" s="23" t="str">
        <f>IFERROR(__xludf.DUMMYFUNCTION("""COMPUTED_VALUE"""),"https://masterplan.com/courses/mit-links-online-meetings-und-workshops-erfolgreich-moderieren")</f>
        <v>https://masterplan.com/courses/mit-links-online-meetings-und-workshops-erfolgreich-moderieren</v>
      </c>
    </row>
    <row r="348">
      <c r="A348" s="6" t="str">
        <f>IFERROR(__xludf.DUMMYFUNCTION("""COMPUTED_VALUE"""),"So förderst du Innovation im Team")</f>
        <v>So förderst du Innovation im Team</v>
      </c>
      <c r="B348" s="7" t="str">
        <f>IFERROR(__xludf.DUMMYFUNCTION("""COMPUTED_VALUE"""),"How to Boost Innovation in Teams")</f>
        <v>How to Boost Innovation in Teams</v>
      </c>
      <c r="C348" s="8" t="str">
        <f>IFERROR(__xludf.DUMMYFUNCTION("""COMPUTED_VALUE"""),"Innovation ist in aller Munde - dank ihr konnte Apple zu dem Megakonzern werden, der er heute ist. Häufig wird sie als Schlüssel zu Reichtum und Erfolg gesehen, doch was macht Innovation wirklich aus? Und wie bringst du mehr Innovation in dein Team?")</f>
        <v>Innovation ist in aller Munde - dank ihr konnte Apple zu dem Megakonzern werden, der er heute ist. Häufig wird sie als Schlüssel zu Reichtum und Erfolg gesehen, doch was macht Innovation wirklich aus? Und wie bringst du mehr Innovation in dein Team?</v>
      </c>
      <c r="D348" s="8" t="str">
        <f>IFERROR(__xludf.DUMMYFUNCTION("""COMPUTED_VALUE"""),"Everyone has been buzzing about innovation lately. It launched Apple to once-unimaginable heights. Seen as the key to wealth and success, what does it truly mean and what can you do to make your team more innovative? ")</f>
        <v>Everyone has been buzzing about innovation lately. It launched Apple to once-unimaginable heights. Seen as the key to wealth and success, what does it truly mean and what can you do to make your team more innovative? </v>
      </c>
      <c r="E348" s="18" t="str">
        <f>IFERROR(__xludf.DUMMYFUNCTION("""COMPUTED_VALUE"""),"Creativity and Innovation")</f>
        <v>Creativity and Innovation</v>
      </c>
      <c r="F348" s="10" t="str">
        <f>IFERROR(__xludf.DUMMYFUNCTION("""COMPUTED_VALUE"""),"AJ&amp;Smart")</f>
        <v>AJ&amp;Smart</v>
      </c>
      <c r="G348" s="11">
        <f>IFERROR(__xludf.DUMMYFUNCTION("""COMPUTED_VALUE"""),18.0)</f>
        <v>18</v>
      </c>
      <c r="H348" s="11">
        <f>IFERROR(__xludf.DUMMYFUNCTION("""COMPUTED_VALUE"""),5.0)</f>
        <v>5</v>
      </c>
      <c r="I348" s="12" t="str">
        <f>IFERROR(__xludf.DUMMYFUNCTION("""COMPUTED_VALUE"""),"English, German")</f>
        <v>English, German</v>
      </c>
      <c r="J348" s="12" t="str">
        <f>IFERROR(__xludf.DUMMYFUNCTION("""COMPUTED_VALUE"""),"English")</f>
        <v>English</v>
      </c>
      <c r="K348" s="13">
        <f>IFERROR(__xludf.DUMMYFUNCTION("""COMPUTED_VALUE"""),44757.0)</f>
        <v>44757</v>
      </c>
      <c r="L348" s="14" t="str">
        <f>IFERROR(__xludf.DUMMYFUNCTION("""COMPUTED_VALUE"""),"https://masterplan.com/courses/so-foerderst-du-innovation-im-team")</f>
        <v>https://masterplan.com/courses/so-foerderst-du-innovation-im-team</v>
      </c>
    </row>
    <row r="349">
      <c r="A349" s="15" t="str">
        <f>IFERROR(__xludf.DUMMYFUNCTION("""COMPUTED_VALUE"""),"Erst schreiben, dann verkaufen: Das 1×1 des Copywritings")</f>
        <v>Erst schreiben, dann verkaufen: Das 1×1 des Copywritings</v>
      </c>
      <c r="B349" s="16" t="str">
        <f>IFERROR(__xludf.DUMMYFUNCTION("""COMPUTED_VALUE"""),"Writing First, Selling Second: The 1×1 of Copywriting  ")</f>
        <v>Writing First, Selling Second: The 1×1 of Copywriting  </v>
      </c>
      <c r="C349" s="17" t="str">
        <f>IFERROR(__xludf.DUMMYFUNCTION("""COMPUTED_VALUE"""),"Let's talk about texts, baby! Copywriting kann jede:r lernen! Aber woraus setzen sich Angebote zusammen? Wie werden deine Marketingtexte ansprechend? Lerne hier die wichtigsten Grundlagen effektiven Marketings kennen. Tipps gegen Schreibblockaden gibt's o"&amp;"bendrauf!")</f>
        <v>Let's talk about texts, baby! Copywriting kann jede:r lernen! Aber woraus setzen sich Angebote zusammen? Wie werden deine Marketingtexte ansprechend? Lerne hier die wichtigsten Grundlagen effektiven Marketings kennen. Tipps gegen Schreibblockaden gibt's obendrauf!</v>
      </c>
      <c r="D349" s="17" t="str">
        <f>IFERROR(__xludf.DUMMYFUNCTION("""COMPUTED_VALUE"""),"Let's talk about texts, baby! Anyone can learn copywriting! But what does offers consist of? How do you make your marketing texts compelling? Learn essential basics of effective marketing. Tips against writer's block are on top!")</f>
        <v>Let's talk about texts, baby! Anyone can learn copywriting! But what does offers consist of? How do you make your marketing texts compelling? Learn essential basics of effective marketing. Tips against writer's block are on top!</v>
      </c>
      <c r="E349" s="9" t="str">
        <f>IFERROR(__xludf.DUMMYFUNCTION("""COMPUTED_VALUE"""),"Global Citizenship")</f>
        <v>Global Citizenship</v>
      </c>
      <c r="F349" s="19" t="str">
        <f>IFERROR(__xludf.DUMMYFUNCTION("""COMPUTED_VALUE"""),"Ascend Marketing, Inc. - Jim Ackerman")</f>
        <v>Ascend Marketing, Inc. - Jim Ackerman</v>
      </c>
      <c r="G349" s="20">
        <f>IFERROR(__xludf.DUMMYFUNCTION("""COMPUTED_VALUE"""),21.0)</f>
        <v>21</v>
      </c>
      <c r="H349" s="20">
        <f>IFERROR(__xludf.DUMMYFUNCTION("""COMPUTED_VALUE"""),15.0)</f>
        <v>15</v>
      </c>
      <c r="I349" s="21" t="str">
        <f>IFERROR(__xludf.DUMMYFUNCTION("""COMPUTED_VALUE"""),"English, German")</f>
        <v>English, German</v>
      </c>
      <c r="J349" s="21" t="str">
        <f>IFERROR(__xludf.DUMMYFUNCTION("""COMPUTED_VALUE"""),"English")</f>
        <v>English</v>
      </c>
      <c r="K349" s="22">
        <f>IFERROR(__xludf.DUMMYFUNCTION("""COMPUTED_VALUE"""),44742.0)</f>
        <v>44742</v>
      </c>
      <c r="L349" s="23" t="str">
        <f>IFERROR(__xludf.DUMMYFUNCTION("""COMPUTED_VALUE"""),"https://masterplan.com/courses/erst-schreiben-dann-verkaufen-das-1x1-des-copywritings")</f>
        <v>https://masterplan.com/courses/erst-schreiben-dann-verkaufen-das-1x1-des-copywritings</v>
      </c>
    </row>
    <row r="350">
      <c r="A350" s="6" t="str">
        <f>IFERROR(__xludf.DUMMYFUNCTION("""COMPUTED_VALUE"""),"Personalführung IV: Eine positive Arbeitskultur schaffen")</f>
        <v>Personalführung IV: Eine positive Arbeitskultur schaffen</v>
      </c>
      <c r="B350" s="7" t="str">
        <f>IFERROR(__xludf.DUMMYFUNCTION("""COMPUTED_VALUE"""),"Human Resources IV: Creating A Positive Workplace Culture")</f>
        <v>Human Resources IV: Creating A Positive Workplace Culture</v>
      </c>
      <c r="C350" s="8" t="str">
        <f>IFERROR(__xludf.DUMMYFUNCTION("""COMPUTED_VALUE"""),"Wie erkennst du, ob jemand zur Kultur deines Unternehmens passt und was macht eine Unternehmenskultur überhaupt so wichtig für Unternehmer:innen? Die Antwort: Sie ist der Schlüssel zu mehr Produktivität und treibt den Unternehmenserfolg voran.")</f>
        <v>Wie erkennst du, ob jemand zur Kultur deines Unternehmens passt und was macht eine Unternehmenskultur überhaupt so wichtig für Unternehmer:innen? Die Antwort: Sie ist der Schlüssel zu mehr Produktivität und treibt den Unternehmenserfolg voran.</v>
      </c>
      <c r="D350" s="8" t="str">
        <f>IFERROR(__xludf.DUMMYFUNCTION("""COMPUTED_VALUE"""),"How can you tell someone is a cultural fit for your company and what makes workplace culture extremely important to any entrepreneur? Let's ensure that you're about to create a great, energetic workplace –  it's the key to productivity and outcome. Press "&amp;"play!")</f>
        <v>How can you tell someone is a cultural fit for your company and what makes workplace culture extremely important to any entrepreneur? Let's ensure that you're about to create a great, energetic workplace –  it's the key to productivity and outcome. Press play!</v>
      </c>
      <c r="E350" s="9" t="str">
        <f>IFERROR(__xludf.DUMMYFUNCTION("""COMPUTED_VALUE"""),"Global Citizenship")</f>
        <v>Global Citizenship</v>
      </c>
      <c r="F350" s="10" t="str">
        <f>IFERROR(__xludf.DUMMYFUNCTION("""COMPUTED_VALUE"""),"WhiteCollarBlue")</f>
        <v>WhiteCollarBlue</v>
      </c>
      <c r="G350" s="11">
        <f>IFERROR(__xludf.DUMMYFUNCTION("""COMPUTED_VALUE"""),6.0)</f>
        <v>6</v>
      </c>
      <c r="H350" s="11">
        <f>IFERROR(__xludf.DUMMYFUNCTION("""COMPUTED_VALUE"""),7.0)</f>
        <v>7</v>
      </c>
      <c r="I350" s="12" t="str">
        <f>IFERROR(__xludf.DUMMYFUNCTION("""COMPUTED_VALUE"""),"English, German")</f>
        <v>English, German</v>
      </c>
      <c r="J350" s="12" t="str">
        <f>IFERROR(__xludf.DUMMYFUNCTION("""COMPUTED_VALUE"""),"English")</f>
        <v>English</v>
      </c>
      <c r="K350" s="13">
        <f>IFERROR(__xludf.DUMMYFUNCTION("""COMPUTED_VALUE"""),44742.0)</f>
        <v>44742</v>
      </c>
      <c r="L350" s="14" t="str">
        <f>IFERROR(__xludf.DUMMYFUNCTION("""COMPUTED_VALUE"""),"https://masterplan.com/courses/personalfuehrung-iv-eine-positive-arbeitskultur-schaffen")</f>
        <v>https://masterplan.com/courses/personalfuehrung-iv-eine-positive-arbeitskultur-schaffen</v>
      </c>
    </row>
    <row r="351">
      <c r="A351" s="15" t="str">
        <f>IFERROR(__xludf.DUMMYFUNCTION("""COMPUTED_VALUE"""),"Zu Unrecht unterschätzt: Die Arbeit in Gruppen")</f>
        <v>Zu Unrecht unterschätzt: Die Arbeit in Gruppen</v>
      </c>
      <c r="B351" s="16" t="str">
        <f>IFERROR(__xludf.DUMMYFUNCTION("""COMPUTED_VALUE"""),"Working in Groups: How to be Better Together")</f>
        <v>Working in Groups: How to be Better Together</v>
      </c>
      <c r="C351" s="17" t="str">
        <f>IFERROR(__xludf.DUMMYFUNCTION("""COMPUTED_VALUE"""),"In der Schule fing es an, im Job geht's weiter. Wovon wir reden? Von Gruppenarbeit! Doch sie ist effizienter, als du vielleicht glaubst und macht sogar glücklich – das ist wissenschaftlich belegt! Finde heraus, wie deine nächste Gruppenarbeit ein voller E"&amp;"rfolg wird.")</f>
        <v>In der Schule fing es an, im Job geht's weiter. Wovon wir reden? Von Gruppenarbeit! Doch sie ist effizienter, als du vielleicht glaubst und macht sogar glücklich – das ist wissenschaftlich belegt! Finde heraus, wie deine nächste Gruppenarbeit ein voller Erfolg wird.</v>
      </c>
      <c r="D351" s="17" t="str">
        <f>IFERROR(__xludf.DUMMYFUNCTION("""COMPUTED_VALUE"""),"How can you make your team stronger than the sum of its parts? Working together is more efficient than you might think, and can even creates endorphins - that's scientifically proven! Find out how to make your next group work a success.")</f>
        <v>How can you make your team stronger than the sum of its parts? Working together is more efficient than you might think, and can even creates endorphins - that's scientifically proven! Find out how to make your next group work a success.</v>
      </c>
      <c r="E351" s="26" t="str">
        <f>IFERROR(__xludf.DUMMYFUNCTION("""COMPUTED_VALUE"""),"Collaboration and Leadership")</f>
        <v>Collaboration and Leadership</v>
      </c>
      <c r="F351" s="19" t="str">
        <f>IFERROR(__xludf.DUMMYFUNCTION("""COMPUTED_VALUE"""),"Communication Coach - Alex Lyon")</f>
        <v>Communication Coach - Alex Lyon</v>
      </c>
      <c r="G351" s="20">
        <f>IFERROR(__xludf.DUMMYFUNCTION("""COMPUTED_VALUE"""),67.0)</f>
        <v>67</v>
      </c>
      <c r="H351" s="20">
        <f>IFERROR(__xludf.DUMMYFUNCTION("""COMPUTED_VALUE"""),35.0)</f>
        <v>35</v>
      </c>
      <c r="I351" s="21" t="str">
        <f>IFERROR(__xludf.DUMMYFUNCTION("""COMPUTED_VALUE"""),"English, German")</f>
        <v>English, German</v>
      </c>
      <c r="J351" s="21" t="str">
        <f>IFERROR(__xludf.DUMMYFUNCTION("""COMPUTED_VALUE"""),"English")</f>
        <v>English</v>
      </c>
      <c r="K351" s="22">
        <f>IFERROR(__xludf.DUMMYFUNCTION("""COMPUTED_VALUE"""),44742.0)</f>
        <v>44742</v>
      </c>
      <c r="L351" s="23" t="str">
        <f>IFERROR(__xludf.DUMMYFUNCTION("""COMPUTED_VALUE"""),"https://masterplan.com/courses/zu-unrecht-unterschaetzt-die-arbeit-in-gruppen")</f>
        <v>https://masterplan.com/courses/zu-unrecht-unterschaetzt-die-arbeit-in-gruppen</v>
      </c>
    </row>
    <row r="352">
      <c r="A352" s="6" t="str">
        <f>IFERROR(__xludf.DUMMYFUNCTION("""COMPUTED_VALUE"""),"Wie denken deine Kunden? Tipps für effektives Marketing")</f>
        <v>Wie denken deine Kunden? Tipps für effektives Marketing</v>
      </c>
      <c r="B352" s="7" t="str">
        <f>IFERROR(__xludf.DUMMYFUNCTION("""COMPUTED_VALUE"""),"How Do Your Customers Think? Tips for Effective Marketing  ")</f>
        <v>How Do Your Customers Think? Tips for Effective Marketing  </v>
      </c>
      <c r="C352" s="8" t="str">
        <f>IFERROR(__xludf.DUMMYFUNCTION("""COMPUTED_VALUE"""),"Ka-Ching, da klingelt die Kasse. Wie das geht? Denk wie deine Kundschaft! Dieser Kurs hilft dir dabei, deine Zielgruppe zu bestimmen und dich in deine Kundschaft hinein zu versetzen. Wie du deine Marketingtexte auf dein Klientel zuschneidest, lernst du na"&amp;"türlich auch.")</f>
        <v>Ka-Ching, da klingelt die Kasse. Wie das geht? Denk wie deine Kundschaft! Dieser Kurs hilft dir dabei, deine Zielgruppe zu bestimmen und dich in deine Kundschaft hinein zu versetzen. Wie du deine Marketingtexte auf dein Klientel zuschneidest, lernst du natürlich auch.</v>
      </c>
      <c r="D352" s="8" t="str">
        <f>IFERROR(__xludf.DUMMYFUNCTION("""COMPUTED_VALUE"""),"Ka-Ching, there rings the sound of purchases. How do you close 'em? Think like your customers! This course will help you define your target audience and put yourself in your customers' shoes. Plus, you'll learn how to tailor your marketing copy to your cu"&amp;"stomer base.")</f>
        <v>Ka-Ching, there rings the sound of purchases. How do you close 'em? Think like your customers! This course will help you define your target audience and put yourself in your customers' shoes. Plus, you'll learn how to tailor your marketing copy to your customer base.</v>
      </c>
      <c r="E352" s="9" t="str">
        <f>IFERROR(__xludf.DUMMYFUNCTION("""COMPUTED_VALUE"""),"Global Citizenship")</f>
        <v>Global Citizenship</v>
      </c>
      <c r="F352" s="10" t="str">
        <f>IFERROR(__xludf.DUMMYFUNCTION("""COMPUTED_VALUE"""),"Ascend Marketing, Inc. - Jim Ackerman")</f>
        <v>Ascend Marketing, Inc. - Jim Ackerman</v>
      </c>
      <c r="G352" s="11">
        <f>IFERROR(__xludf.DUMMYFUNCTION("""COMPUTED_VALUE"""),16.0)</f>
        <v>16</v>
      </c>
      <c r="H352" s="11">
        <f>IFERROR(__xludf.DUMMYFUNCTION("""COMPUTED_VALUE"""),16.0)</f>
        <v>16</v>
      </c>
      <c r="I352" s="12" t="str">
        <f>IFERROR(__xludf.DUMMYFUNCTION("""COMPUTED_VALUE"""),"English, German")</f>
        <v>English, German</v>
      </c>
      <c r="J352" s="12" t="str">
        <f>IFERROR(__xludf.DUMMYFUNCTION("""COMPUTED_VALUE"""),"English")</f>
        <v>English</v>
      </c>
      <c r="K352" s="13">
        <f>IFERROR(__xludf.DUMMYFUNCTION("""COMPUTED_VALUE"""),44742.0)</f>
        <v>44742</v>
      </c>
      <c r="L352" s="14" t="str">
        <f>IFERROR(__xludf.DUMMYFUNCTION("""COMPUTED_VALUE"""),"https://masterplan.com/courses/wie-denken-deine-kunden-tipps-fuer-effektives-marketing")</f>
        <v>https://masterplan.com/courses/wie-denken-deine-kunden-tipps-fuer-effektives-marketing</v>
      </c>
    </row>
    <row r="353">
      <c r="A353" s="15" t="str">
        <f>IFERROR(__xludf.DUMMYFUNCTION("""COMPUTED_VALUE"""),"Talking On The Job – Speak Business English with Confidence")</f>
        <v>Talking On The Job – Speak Business English with Confidence</v>
      </c>
      <c r="B353" s="16" t="str">
        <f>IFERROR(__xludf.DUMMYFUNCTION("""COMPUTED_VALUE"""),"Talking On The Job – Speak Business English with Confidence")</f>
        <v>Talking On The Job – Speak Business English with Confidence</v>
      </c>
      <c r="C353" s="17" t="str">
        <f>IFERROR(__xludf.DUMMYFUNCTION("""COMPUTED_VALUE"""),"Hi there! In diesem Mitmach-Podcast begleitest du Rahim und Sabine bei ihren alltäglichen Herausforderungen im Job. Eine davon lautet: Business English sprechen und verstehen. Klingt für dich ebenfalls herausfordernd? Perfect, let's continue in english!")</f>
        <v>Hi there! In diesem Mitmach-Podcast begleitest du Rahim und Sabine bei ihren alltäglichen Herausforderungen im Job. Eine davon lautet: Business English sprechen und verstehen. Klingt für dich ebenfalls herausfordernd? Perfect, let's continue in english!</v>
      </c>
      <c r="D353" s="17" t="str">
        <f>IFERROR(__xludf.DUMMYFUNCTION("""COMPUTED_VALUE"""),"Follow and learn from Rahim and Sabine's challenges using business English at work. Your business English mentor, Conor, is ready to provide tips and tricks on how to overcome some tricky workplace challenges!")</f>
        <v>Follow and learn from Rahim and Sabine's challenges using business English at work. Your business English mentor, Conor, is ready to provide tips and tricks on how to overcome some tricky workplace challenges!</v>
      </c>
      <c r="E353" s="28" t="str">
        <f>IFERROR(__xludf.DUMMYFUNCTION("""COMPUTED_VALUE"""),"Communication")</f>
        <v>Communication</v>
      </c>
      <c r="F353" s="19" t="str">
        <f>IFERROR(__xludf.DUMMYFUNCTION("""COMPUTED_VALUE"""),"Babbel")</f>
        <v>Babbel</v>
      </c>
      <c r="G353" s="20">
        <f>IFERROR(__xludf.DUMMYFUNCTION("""COMPUTED_VALUE"""),79.0)</f>
        <v>79</v>
      </c>
      <c r="H353" s="20">
        <f>IFERROR(__xludf.DUMMYFUNCTION("""COMPUTED_VALUE"""),13.0)</f>
        <v>13</v>
      </c>
      <c r="I353" s="21" t="str">
        <f>IFERROR(__xludf.DUMMYFUNCTION("""COMPUTED_VALUE"""),"English")</f>
        <v>English</v>
      </c>
      <c r="J353" s="21" t="str">
        <f>IFERROR(__xludf.DUMMYFUNCTION("""COMPUTED_VALUE"""),"English")</f>
        <v>English</v>
      </c>
      <c r="K353" s="22">
        <f>IFERROR(__xludf.DUMMYFUNCTION("""COMPUTED_VALUE"""),44742.0)</f>
        <v>44742</v>
      </c>
      <c r="L353" s="23" t="str">
        <f>IFERROR(__xludf.DUMMYFUNCTION("""COMPUTED_VALUE"""),"https://masterplan.com/courses/talking-on-the-job-speak-business-english-with-confidence")</f>
        <v>https://masterplan.com/courses/talking-on-the-job-speak-business-english-with-confidence</v>
      </c>
    </row>
    <row r="354">
      <c r="A354" s="6" t="str">
        <f>IFERROR(__xludf.DUMMYFUNCTION("""COMPUTED_VALUE"""),"Besser kommunizieren in kleinen Teams")</f>
        <v>Besser kommunizieren in kleinen Teams</v>
      </c>
      <c r="B354" s="7" t="str">
        <f>IFERROR(__xludf.DUMMYFUNCTION("""COMPUTED_VALUE"""),"Better Communication in Small Teams")</f>
        <v>Better Communication in Small Teams</v>
      </c>
      <c r="C354" s="8" t="str">
        <f>IFERROR(__xludf.DUMMYFUNCTION("""COMPUTED_VALUE"""),"""Bis bald!"" - ein Ausdruck, tausende Bedeutungen. Morgen? Nächste Woche? In einem Monat? - Lerne, wie du solche Kommunikationsbarrieren beseitigst und was es bei gelungener Kommunikation zu beachten gilt. So schaffst du ein positives und produktives Arb"&amp;"eitsklima. ")</f>
        <v>"Bis bald!" - ein Ausdruck, tausende Bedeutungen. Morgen? Nächste Woche? In einem Monat? - Lerne, wie du solche Kommunikationsbarrieren beseitigst und was es bei gelungener Kommunikation zu beachten gilt. So schaffst du ein positives und produktives Arbeitsklima. </v>
      </c>
      <c r="D354" s="8" t="str">
        <f>IFERROR(__xludf.DUMMYFUNCTION("""COMPUTED_VALUE"""),"""See you soon!"" - one expression, a thousand meanings. Tomorrow? Next week? A month from now? - Learn how to remove such communication barriers and what to look for in successful communication. This is how you create a positive and productive working en"&amp;"vironment. ")</f>
        <v>"See you soon!" - one expression, a thousand meanings. Tomorrow? Next week? A month from now? - Learn how to remove such communication barriers and what to look for in successful communication. This is how you create a positive and productive working environment. </v>
      </c>
      <c r="E354" s="28" t="str">
        <f>IFERROR(__xludf.DUMMYFUNCTION("""COMPUTED_VALUE"""),"Communication")</f>
        <v>Communication</v>
      </c>
      <c r="F354" s="10" t="str">
        <f>IFERROR(__xludf.DUMMYFUNCTION("""COMPUTED_VALUE"""),"Communication Coach - Alex Lyon")</f>
        <v>Communication Coach - Alex Lyon</v>
      </c>
      <c r="G354" s="11">
        <f>IFERROR(__xludf.DUMMYFUNCTION("""COMPUTED_VALUE"""),77.0)</f>
        <v>77</v>
      </c>
      <c r="H354" s="11">
        <f>IFERROR(__xludf.DUMMYFUNCTION("""COMPUTED_VALUE"""),29.0)</f>
        <v>29</v>
      </c>
      <c r="I354" s="12" t="str">
        <f>IFERROR(__xludf.DUMMYFUNCTION("""COMPUTED_VALUE"""),"English, German")</f>
        <v>English, German</v>
      </c>
      <c r="J354" s="12" t="str">
        <f>IFERROR(__xludf.DUMMYFUNCTION("""COMPUTED_VALUE"""),"English")</f>
        <v>English</v>
      </c>
      <c r="K354" s="13">
        <f>IFERROR(__xludf.DUMMYFUNCTION("""COMPUTED_VALUE"""),44742.0)</f>
        <v>44742</v>
      </c>
      <c r="L354" s="14" t="str">
        <f>IFERROR(__xludf.DUMMYFUNCTION("""COMPUTED_VALUE"""),"https://masterplan.com/courses/besser-kommunizieren-in-kleinen-teams")</f>
        <v>https://masterplan.com/courses/besser-kommunizieren-in-kleinen-teams</v>
      </c>
    </row>
    <row r="355">
      <c r="A355" s="15" t="str">
        <f>IFERROR(__xludf.DUMMYFUNCTION("""COMPUTED_VALUE"""),"Halt, stopp! Jetzt werbe ich richtig")</f>
        <v>Halt, stopp! Jetzt werbe ich richtig</v>
      </c>
      <c r="B355" s="16" t="str">
        <f>IFERROR(__xludf.DUMMYFUNCTION("""COMPUTED_VALUE"""),"Don't You Dare: Avoid these 5 Marketing Mistakes")</f>
        <v>Don't You Dare: Avoid these 5 Marketing Mistakes</v>
      </c>
      <c r="C355" s="17" t="str">
        <f>IFERROR(__xludf.DUMMYFUNCTION("""COMPUTED_VALUE"""),"Du hast ein Herz für Marketing? Dann ist dieser Kurs für dich ein Muss! In nur knapp 10 Minuten erfährst du die fünf gängigsten Marketingfehler und wie du sie vermeidest. Von: ""Das haben wir schon immer so gemacht!"" bis  hin zu der Verwendung von Akrony"&amp;"men.")</f>
        <v>Du hast ein Herz für Marketing? Dann ist dieser Kurs für dich ein Muss! In nur knapp 10 Minuten erfährst du die fünf gängigsten Marketingfehler und wie du sie vermeidest. Von: "Das haben wir schon immer so gemacht!" bis  hin zu der Verwendung von Akronymen.</v>
      </c>
      <c r="D355" s="17" t="str">
        <f>IFERROR(__xludf.DUMMYFUNCTION("""COMPUTED_VALUE"""),"Do you have a heart for marketing? Then this course is a must for you! In just 10 minutes, you'll learn the five most common marketing mistakes and how to avoid them. From ""We've always done it that way!"" to using acronyms.")</f>
        <v>Do you have a heart for marketing? Then this course is a must for you! In just 10 minutes, you'll learn the five most common marketing mistakes and how to avoid them. From "We've always done it that way!" to using acronyms.</v>
      </c>
      <c r="E355" s="9" t="str">
        <f>IFERROR(__xludf.DUMMYFUNCTION("""COMPUTED_VALUE"""),"Global Citizenship")</f>
        <v>Global Citizenship</v>
      </c>
      <c r="F355" s="19" t="str">
        <f>IFERROR(__xludf.DUMMYFUNCTION("""COMPUTED_VALUE"""),"Ascend Marketing, Inc. - Jim Ackerman")</f>
        <v>Ascend Marketing, Inc. - Jim Ackerman</v>
      </c>
      <c r="G355" s="20">
        <f>IFERROR(__xludf.DUMMYFUNCTION("""COMPUTED_VALUE"""),12.0)</f>
        <v>12</v>
      </c>
      <c r="H355" s="20">
        <f>IFERROR(__xludf.DUMMYFUNCTION("""COMPUTED_VALUE"""),7.0)</f>
        <v>7</v>
      </c>
      <c r="I355" s="21" t="str">
        <f>IFERROR(__xludf.DUMMYFUNCTION("""COMPUTED_VALUE"""),"English, German")</f>
        <v>English, German</v>
      </c>
      <c r="J355" s="21" t="str">
        <f>IFERROR(__xludf.DUMMYFUNCTION("""COMPUTED_VALUE"""),"English")</f>
        <v>English</v>
      </c>
      <c r="K355" s="22">
        <f>IFERROR(__xludf.DUMMYFUNCTION("""COMPUTED_VALUE"""),44736.0)</f>
        <v>44736</v>
      </c>
      <c r="L355" s="23" t="str">
        <f>IFERROR(__xludf.DUMMYFUNCTION("""COMPUTED_VALUE"""),"https://masterplan.com/courses/halt-stopp-vermeide-diese-5-marketingfehler")</f>
        <v>https://masterplan.com/courses/halt-stopp-vermeide-diese-5-marketingfehler</v>
      </c>
    </row>
    <row r="356">
      <c r="A356" s="6" t="str">
        <f>IFERROR(__xludf.DUMMYFUNCTION("""COMPUTED_VALUE"""),"Merkmal + Vorteil = Die ideale Formel für starkes Marketing")</f>
        <v>Merkmal + Vorteil = Die ideale Formel für starkes Marketing</v>
      </c>
      <c r="B356" s="7" t="str">
        <f>IFERROR(__xludf.DUMMYFUNCTION("""COMPUTED_VALUE"""),"Feature + Benefit = The Ideal Formula for Great Marketing  ")</f>
        <v>Feature + Benefit = The Ideal Formula for Great Marketing  </v>
      </c>
      <c r="C356" s="8" t="str">
        <f>IFERROR(__xludf.DUMMYFUNCTION("""COMPUTED_VALUE"""),"Möchtest du die Geheimformel für effektives Marketing erfahren? Dann haben wir für dich ein Angebot! Du musst dir nur diesen Kurs anschauen: Erfahre, wie du Produktvorteile richtig anpreist und Marketing auf Kundenbedürfnisse zuschneidest. Na, kommen wir "&amp;"ins Geschäft? ")</f>
        <v>Möchtest du die Geheimformel für effektives Marketing erfahren? Dann haben wir für dich ein Angebot! Du musst dir nur diesen Kurs anschauen: Erfahre, wie du Produktvorteile richtig anpreist und Marketing auf Kundenbedürfnisse zuschneidest. Na, kommen wir ins Geschäft? </v>
      </c>
      <c r="D356" s="8" t="str">
        <f>IFERROR(__xludf.DUMMYFUNCTION("""COMPUTED_VALUE"""),"Would you like to learn the secret formula for effective marketing? Well, we have an offer for you! You must watch this course: Learn how to pitch product benefits and appropriately tailor marketing to customer needs. Well, do we have a deal? ")</f>
        <v>Would you like to learn the secret formula for effective marketing? Well, we have an offer for you! You must watch this course: Learn how to pitch product benefits and appropriately tailor marketing to customer needs. Well, do we have a deal? </v>
      </c>
      <c r="E356" s="9" t="str">
        <f>IFERROR(__xludf.DUMMYFUNCTION("""COMPUTED_VALUE"""),"Global Citizenship")</f>
        <v>Global Citizenship</v>
      </c>
      <c r="F356" s="10" t="str">
        <f>IFERROR(__xludf.DUMMYFUNCTION("""COMPUTED_VALUE"""),"Ascend Marketing, Inc. - Jim Ackerman")</f>
        <v>Ascend Marketing, Inc. - Jim Ackerman</v>
      </c>
      <c r="G356" s="11">
        <f>IFERROR(__xludf.DUMMYFUNCTION("""COMPUTED_VALUE"""),17.0)</f>
        <v>17</v>
      </c>
      <c r="H356" s="11">
        <f>IFERROR(__xludf.DUMMYFUNCTION("""COMPUTED_VALUE"""),15.0)</f>
        <v>15</v>
      </c>
      <c r="I356" s="12" t="str">
        <f>IFERROR(__xludf.DUMMYFUNCTION("""COMPUTED_VALUE"""),"English, German")</f>
        <v>English, German</v>
      </c>
      <c r="J356" s="12" t="str">
        <f>IFERROR(__xludf.DUMMYFUNCTION("""COMPUTED_VALUE"""),"English")</f>
        <v>English</v>
      </c>
      <c r="K356" s="13">
        <f>IFERROR(__xludf.DUMMYFUNCTION("""COMPUTED_VALUE"""),44736.0)</f>
        <v>44736</v>
      </c>
      <c r="L356" s="14" t="str">
        <f>IFERROR(__xludf.DUMMYFUNCTION("""COMPUTED_VALUE"""),"https://masterplan.com/courses/merkmal-vorteil-die-ideale-formel-fuer-starkes-marketing")</f>
        <v>https://masterplan.com/courses/merkmal-vorteil-die-ideale-formel-fuer-starkes-marketing</v>
      </c>
    </row>
    <row r="357">
      <c r="A357" s="15" t="str">
        <f>IFERROR(__xludf.DUMMYFUNCTION("""COMPUTED_VALUE"""),"Personalführung III: KPIs &amp; Performance")</f>
        <v>Personalführung III: KPIs &amp; Performance</v>
      </c>
      <c r="B357" s="16" t="str">
        <f>IFERROR(__xludf.DUMMYFUNCTION("""COMPUTED_VALUE"""),"Human Resources III: KPIs &amp; Performance")</f>
        <v>Human Resources III: KPIs &amp; Performance</v>
      </c>
      <c r="C357" s="17" t="str">
        <f>IFERROR(__xludf.DUMMYFUNCTION("""COMPUTED_VALUE"""),"Tragen deine Mitarbeitenden mit ihrer Zeit effektiv zur Skalierung deines Unternehmens bei? Ergebnismessung gibt dir eine Antwort auf diese Frage! Erfahre, wie KPIs deinen Gewinn steigern können und wie du mit ihnen Schwachstellen erkennen und eliminieren"&amp;" kannst.")</f>
        <v>Tragen deine Mitarbeitenden mit ihrer Zeit effektiv zur Skalierung deines Unternehmens bei? Ergebnismessung gibt dir eine Antwort auf diese Frage! Erfahre, wie KPIs deinen Gewinn steigern können und wie du mit ihnen Schwachstellen erkennen und eliminieren kannst.</v>
      </c>
      <c r="D357" s="17" t="str">
        <f>IFERROR(__xludf.DUMMYFUNCTION("""COMPUTED_VALUE"""),"Do your employees effectively use their time on things that will allow your business to grow? Outcome measurement will help you to find out! Learn more about how KPIs can increase your profit and, on the other hand, how you can identify and turn around un"&amp;"derperformance.")</f>
        <v>Do your employees effectively use their time on things that will allow your business to grow? Outcome measurement will help you to find out! Learn more about how KPIs can increase your profit and, on the other hand, how you can identify and turn around underperformance.</v>
      </c>
      <c r="E357" s="9" t="str">
        <f>IFERROR(__xludf.DUMMYFUNCTION("""COMPUTED_VALUE"""),"Global Citizenship")</f>
        <v>Global Citizenship</v>
      </c>
      <c r="F357" s="19" t="str">
        <f>IFERROR(__xludf.DUMMYFUNCTION("""COMPUTED_VALUE"""),"WhiteCollarBlue")</f>
        <v>WhiteCollarBlue</v>
      </c>
      <c r="G357" s="20">
        <f>IFERROR(__xludf.DUMMYFUNCTION("""COMPUTED_VALUE"""),21.0)</f>
        <v>21</v>
      </c>
      <c r="H357" s="20">
        <f>IFERROR(__xludf.DUMMYFUNCTION("""COMPUTED_VALUE"""),14.0)</f>
        <v>14</v>
      </c>
      <c r="I357" s="21" t="str">
        <f>IFERROR(__xludf.DUMMYFUNCTION("""COMPUTED_VALUE"""),"English, German")</f>
        <v>English, German</v>
      </c>
      <c r="J357" s="21" t="str">
        <f>IFERROR(__xludf.DUMMYFUNCTION("""COMPUTED_VALUE"""),"English")</f>
        <v>English</v>
      </c>
      <c r="K357" s="22">
        <f>IFERROR(__xludf.DUMMYFUNCTION("""COMPUTED_VALUE"""),44736.0)</f>
        <v>44736</v>
      </c>
      <c r="L357" s="23" t="str">
        <f>IFERROR(__xludf.DUMMYFUNCTION("""COMPUTED_VALUE"""),"https://masterplan.com/courses/personalfuehrung-iii-kpis-und-performance")</f>
        <v>https://masterplan.com/courses/personalfuehrung-iii-kpis-und-performance</v>
      </c>
    </row>
    <row r="358">
      <c r="A358" s="6" t="str">
        <f>IFERROR(__xludf.DUMMYFUNCTION("""COMPUTED_VALUE"""),"FAQ mit CIOs: IT-Vorstände geben Einblicke")</f>
        <v>FAQ mit CIOs: IT-Vorstände geben Einblicke</v>
      </c>
      <c r="B358" s="7" t="str">
        <f>IFERROR(__xludf.DUMMYFUNCTION("""COMPUTED_VALUE"""),"FAQ with CIOs: IT executives share insights")</f>
        <v>FAQ with CIOs: IT executives share insights</v>
      </c>
      <c r="C358" s="8" t="str">
        <f>IFERROR(__xludf.DUMMYFUNCTION("""COMPUTED_VALUE"""),"CIOs spielen in Unternehmen eine wichtige Rolle. Aber was macht eigentlich ein CIO? Mit der Antwort ""Irgendwas mit IT"" geben wir uns nicht zufrieden! In diesem Kurs beantworten erfahrene CIOs Fragen rund um ihr Berufsfeld - von Führung bis Diversität is"&amp;"t alles dabei!")</f>
        <v>CIOs spielen in Unternehmen eine wichtige Rolle. Aber was macht eigentlich ein CIO? Mit der Antwort "Irgendwas mit IT" geben wir uns nicht zufrieden! In diesem Kurs beantworten erfahrene CIOs Fragen rund um ihr Berufsfeld - von Führung bis Diversität ist alles dabei!</v>
      </c>
      <c r="D358" s="8" t="str">
        <f>IFERROR(__xludf.DUMMYFUNCTION("""COMPUTED_VALUE"""),"CIOs play an important role in companies. But what does a CIO actually do? And the answer ""something to do with IT"" doesn't suffice! In this course, experienced CIOs respond to questions relating to their profession – from leadership to diversity, you'l"&amp;"l find it all!")</f>
        <v>CIOs play an important role in companies. But what does a CIO actually do? And the answer "something to do with IT" doesn't suffice! In this course, experienced CIOs respond to questions relating to their profession – from leadership to diversity, you'll find it all!</v>
      </c>
      <c r="E358" s="25" t="str">
        <f>IFERROR(__xludf.DUMMYFUNCTION("""COMPUTED_VALUE"""),"Digital Literacy")</f>
        <v>Digital Literacy</v>
      </c>
      <c r="F358" s="10" t="str">
        <f>IFERROR(__xludf.DUMMYFUNCTION("""COMPUTED_VALUE"""),"EDUCAUSE")</f>
        <v>EDUCAUSE</v>
      </c>
      <c r="G358" s="11">
        <f>IFERROR(__xludf.DUMMYFUNCTION("""COMPUTED_VALUE"""),30.0)</f>
        <v>30</v>
      </c>
      <c r="H358" s="11">
        <f>IFERROR(__xludf.DUMMYFUNCTION("""COMPUTED_VALUE"""),13.0)</f>
        <v>13</v>
      </c>
      <c r="I358" s="12" t="str">
        <f>IFERROR(__xludf.DUMMYFUNCTION("""COMPUTED_VALUE"""),"English, German")</f>
        <v>English, German</v>
      </c>
      <c r="J358" s="12" t="str">
        <f>IFERROR(__xludf.DUMMYFUNCTION("""COMPUTED_VALUE"""),"English")</f>
        <v>English</v>
      </c>
      <c r="K358" s="13">
        <f>IFERROR(__xludf.DUMMYFUNCTION("""COMPUTED_VALUE"""),44732.0)</f>
        <v>44732</v>
      </c>
      <c r="L358" s="14" t="str">
        <f>IFERROR(__xludf.DUMMYFUNCTION("""COMPUTED_VALUE"""),"https://masterplan.com/courses/faq-mit-cios-it-vorstaende-geben-einblicke")</f>
        <v>https://masterplan.com/courses/faq-mit-cios-it-vorstaende-geben-einblicke</v>
      </c>
    </row>
    <row r="359">
      <c r="A359" s="15" t="str">
        <f>IFERROR(__xludf.DUMMYFUNCTION("""COMPUTED_VALUE"""),"Design Verstehen VII - Innovation durch Design")</f>
        <v>Design Verstehen VII - Innovation durch Design</v>
      </c>
      <c r="B359" s="16" t="str">
        <f>IFERROR(__xludf.DUMMYFUNCTION("""COMPUTED_VALUE"""),"Understanding Design VII - Innovation by Design")</f>
        <v>Understanding Design VII - Innovation by Design</v>
      </c>
      <c r="C359" s="17" t="str">
        <f>IFERROR(__xludf.DUMMYFUNCTION("""COMPUTED_VALUE"""),"Die Kursreihe ""Design verstehen"" befasst sich mit Design als Disziplin und ihrem Einfluss auf die Gesellschaft, Industrie und Umwelt. Dieser Kurs richtet sich an alle, die verstehen wollen, wie Designer:innen eine Idee im Innovationsprozess weiterentwic"&amp;"keln.")</f>
        <v>Die Kursreihe "Design verstehen" befasst sich mit Design als Disziplin und ihrem Einfluss auf die Gesellschaft, Industrie und Umwelt. Dieser Kurs richtet sich an alle, die verstehen wollen, wie Designer:innen eine Idee im Innovationsprozess weiterentwickeln.</v>
      </c>
      <c r="D359" s="17" t="str">
        <f>IFERROR(__xludf.DUMMYFUNCTION("""COMPUTED_VALUE"""),"The ""Understanding Design"" course series aims to create an awareness and understanding of the discipline of design and how it impacts society, industry, and the environment. This course is for those curious to understand how the designer takes an idea t"&amp;"hrough several stages in the innovation process.")</f>
        <v>The "Understanding Design" course series aims to create an awareness and understanding of the discipline of design and how it impacts society, industry, and the environment. This course is for those curious to understand how the designer takes an idea through several stages in the innovation process.</v>
      </c>
      <c r="E359" s="18" t="str">
        <f>IFERROR(__xludf.DUMMYFUNCTION("""COMPUTED_VALUE"""),"Creativity and Innovation")</f>
        <v>Creativity and Innovation</v>
      </c>
      <c r="F359" s="19" t="str">
        <f>IFERROR(__xludf.DUMMYFUNCTION("""COMPUTED_VALUE"""),"IIT Bombay - Nina Sabnani")</f>
        <v>IIT Bombay - Nina Sabnani</v>
      </c>
      <c r="G359" s="20">
        <f>IFERROR(__xludf.DUMMYFUNCTION("""COMPUTED_VALUE"""),32.0)</f>
        <v>32</v>
      </c>
      <c r="H359" s="20">
        <f>IFERROR(__xludf.DUMMYFUNCTION("""COMPUTED_VALUE"""),10.0)</f>
        <v>10</v>
      </c>
      <c r="I359" s="21" t="str">
        <f>IFERROR(__xludf.DUMMYFUNCTION("""COMPUTED_VALUE"""),"English, German")</f>
        <v>English, German</v>
      </c>
      <c r="J359" s="21" t="str">
        <f>IFERROR(__xludf.DUMMYFUNCTION("""COMPUTED_VALUE"""),"English")</f>
        <v>English</v>
      </c>
      <c r="K359" s="22">
        <f>IFERROR(__xludf.DUMMYFUNCTION("""COMPUTED_VALUE"""),44732.0)</f>
        <v>44732</v>
      </c>
      <c r="L359" s="23" t="str">
        <f>IFERROR(__xludf.DUMMYFUNCTION("""COMPUTED_VALUE"""),"https://masterplan.com/courses/design-verstehen-vii-innovation-durch-design")</f>
        <v>https://masterplan.com/courses/design-verstehen-vii-innovation-durch-design</v>
      </c>
    </row>
    <row r="360">
      <c r="A360" s="6" t="str">
        <f>IFERROR(__xludf.DUMMYFUNCTION("""COMPUTED_VALUE"""),"[OFFLINE] Dein Projekt, dein Dream-Team: Erfolgreich führen")</f>
        <v>[OFFLINE] Dein Projekt, dein Dream-Team: Erfolgreich führen</v>
      </c>
      <c r="B360" s="7" t="str">
        <f>IFERROR(__xludf.DUMMYFUNCTION("""COMPUTED_VALUE"""),"[OFFLINE] Leading Successful Projects with Your Dream Team")</f>
        <v>[OFFLINE] Leading Successful Projects with Your Dream Team</v>
      </c>
      <c r="C360" s="8" t="str">
        <f>IFERROR(__xludf.DUMMYFUNCTION("""COMPUTED_VALUE"""),"“Wenn du schnell gehen willst, geh' alleine. Wenn du
weit kommen willst, geh' gemeinsam.” Weil wir glauben, dass auch du weit kommen möchtest, solltest du dir diesen Kurs anschauen. Dann erfährst du, wie du dein Projekt mit erlesenen Stakeholdern zum Erfo"&amp;"lg führst.")</f>
        <v>“Wenn du schnell gehen willst, geh' alleine. Wenn du
weit kommen willst, geh' gemeinsam.” Weil wir glauben, dass auch du weit kommen möchtest, solltest du dir diesen Kurs anschauen. Dann erfährst du, wie du dein Projekt mit erlesenen Stakeholdern zum Erfolg führst.</v>
      </c>
      <c r="D360" s="8" t="str">
        <f>IFERROR(__xludf.DUMMYFUNCTION("""COMPUTED_VALUE"""),"""If you want to go fast, run alone. If you want to go far, run together."" You probably plan to go far too - which is why we think this course is the perfect fit for you. Here, you will learn how to lead your project with chosen stakeholders to success.
")</f>
        <v>"If you want to go fast, run alone. If you want to go far, run together." You probably plan to go far too - which is why we think this course is the perfect fit for you. Here, you will learn how to lead your project with chosen stakeholders to success.
</v>
      </c>
      <c r="E360" s="18" t="str">
        <f>IFERROR(__xludf.DUMMYFUNCTION("""COMPUTED_VALUE"""),"Creativity and Innovation")</f>
        <v>Creativity and Innovation</v>
      </c>
      <c r="F360" s="10" t="str">
        <f>IFERROR(__xludf.DUMMYFUNCTION("""COMPUTED_VALUE"""),"Communication Coach - Alex Lyon")</f>
        <v>Communication Coach - Alex Lyon</v>
      </c>
      <c r="G360" s="11">
        <f>IFERROR(__xludf.DUMMYFUNCTION("""COMPUTED_VALUE"""),61.0)</f>
        <v>61</v>
      </c>
      <c r="H360" s="11">
        <f>IFERROR(__xludf.DUMMYFUNCTION("""COMPUTED_VALUE"""),28.0)</f>
        <v>28</v>
      </c>
      <c r="I360" s="12" t="str">
        <f>IFERROR(__xludf.DUMMYFUNCTION("""COMPUTED_VALUE"""),"English, German")</f>
        <v>English, German</v>
      </c>
      <c r="J360" s="12" t="str">
        <f>IFERROR(__xludf.DUMMYFUNCTION("""COMPUTED_VALUE"""),"English")</f>
        <v>English</v>
      </c>
      <c r="K360" s="13">
        <f>IFERROR(__xludf.DUMMYFUNCTION("""COMPUTED_VALUE"""),44729.0)</f>
        <v>44729</v>
      </c>
      <c r="L360" s="14" t="str">
        <f>IFERROR(__xludf.DUMMYFUNCTION("""COMPUTED_VALUE"""),"https://masterplan.com/courses/dein-projekt-dein-dream-team-erfolgreich-fuehren")</f>
        <v>https://masterplan.com/courses/dein-projekt-dein-dream-team-erfolgreich-fuehren</v>
      </c>
    </row>
    <row r="361">
      <c r="A361" s="15" t="str">
        <f>IFERROR(__xludf.DUMMYFUNCTION("""COMPUTED_VALUE"""),"Design Verstehen V - Design und Industrie")</f>
        <v>Design Verstehen V - Design und Industrie</v>
      </c>
      <c r="B361" s="16" t="str">
        <f>IFERROR(__xludf.DUMMYFUNCTION("""COMPUTED_VALUE"""),"Understanding Design V - Design and Industry")</f>
        <v>Understanding Design V - Design and Industry</v>
      </c>
      <c r="C361" s="17" t="str">
        <f>IFERROR(__xludf.DUMMYFUNCTION("""COMPUTED_VALUE"""),"In der Kursreihe ""Design verstehen"" geht es darum, die Disziplin und den Einfluss von Design auf die Gesellschaft, Industrie und Umwelt zu verstehen. Dieser Kurs richtet sich an alle, die verstehen wollen, wie bedeutend dieser Einfluss auf die Industrie"&amp;" ist.")</f>
        <v>In der Kursreihe "Design verstehen" geht es darum, die Disziplin und den Einfluss von Design auf die Gesellschaft, Industrie und Umwelt zu verstehen. Dieser Kurs richtet sich an alle, die verstehen wollen, wie bedeutend dieser Einfluss auf die Industrie ist.</v>
      </c>
      <c r="D361" s="17" t="str">
        <f>IFERROR(__xludf.DUMMYFUNCTION("""COMPUTED_VALUE"""),"The ""Understanding Design"" course series aims to create an awareness and understanding of the discipline of design and how it impacts society, industry, and the environment. This course is for those curious to understand the significant impact of design"&amp;" on the industry.")</f>
        <v>The "Understanding Design" course series aims to create an awareness and understanding of the discipline of design and how it impacts society, industry, and the environment. This course is for those curious to understand the significant impact of design on the industry.</v>
      </c>
      <c r="E361" s="18" t="str">
        <f>IFERROR(__xludf.DUMMYFUNCTION("""COMPUTED_VALUE"""),"Creativity and Innovation")</f>
        <v>Creativity and Innovation</v>
      </c>
      <c r="F361" s="19" t="str">
        <f>IFERROR(__xludf.DUMMYFUNCTION("""COMPUTED_VALUE"""),"IIT Bombay - Nina Sabnani")</f>
        <v>IIT Bombay - Nina Sabnani</v>
      </c>
      <c r="G361" s="20">
        <f>IFERROR(__xludf.DUMMYFUNCTION("""COMPUTED_VALUE"""),28.0)</f>
        <v>28</v>
      </c>
      <c r="H361" s="20">
        <f>IFERROR(__xludf.DUMMYFUNCTION("""COMPUTED_VALUE"""),13.0)</f>
        <v>13</v>
      </c>
      <c r="I361" s="21" t="str">
        <f>IFERROR(__xludf.DUMMYFUNCTION("""COMPUTED_VALUE"""),"English, German")</f>
        <v>English, German</v>
      </c>
      <c r="J361" s="21" t="str">
        <f>IFERROR(__xludf.DUMMYFUNCTION("""COMPUTED_VALUE"""),"English")</f>
        <v>English</v>
      </c>
      <c r="K361" s="22">
        <f>IFERROR(__xludf.DUMMYFUNCTION("""COMPUTED_VALUE"""),44729.0)</f>
        <v>44729</v>
      </c>
      <c r="L361" s="23" t="str">
        <f>IFERROR(__xludf.DUMMYFUNCTION("""COMPUTED_VALUE"""),"https://masterplan.com/courses/design-verstehen-v-design-und-industrie")</f>
        <v>https://masterplan.com/courses/design-verstehen-v-design-und-industrie</v>
      </c>
    </row>
    <row r="362">
      <c r="A362" s="6" t="str">
        <f>IFERROR(__xludf.DUMMYFUNCTION("""COMPUTED_VALUE"""),"Design Verstehen VI - Design und Zusammenarbeit")</f>
        <v>Design Verstehen VI - Design und Zusammenarbeit</v>
      </c>
      <c r="B362" s="7" t="str">
        <f>IFERROR(__xludf.DUMMYFUNCTION("""COMPUTED_VALUE"""),"Understanding Design VI - Desing and Collaboration")</f>
        <v>Understanding Design VI - Desing and Collaboration</v>
      </c>
      <c r="C362" s="8" t="str">
        <f>IFERROR(__xludf.DUMMYFUNCTION("""COMPUTED_VALUE"""),"Die Kursreihe ""Design verstehen"" befasst sich mit Design als Disziplin und ihrem Einfluss auf die Gesellschaft, Industrie und Umwelt. Dieser Kurs richtet sich an alle, die verstehen wollen, wie Zusammenarbeit Design hilft, verschiedene Fähigkeiten zu ko"&amp;"mbinieren.")</f>
        <v>Die Kursreihe "Design verstehen" befasst sich mit Design als Disziplin und ihrem Einfluss auf die Gesellschaft, Industrie und Umwelt. Dieser Kurs richtet sich an alle, die verstehen wollen, wie Zusammenarbeit Design hilft, verschiedene Fähigkeiten zu kombinieren.</v>
      </c>
      <c r="D362" s="8" t="str">
        <f>IFERROR(__xludf.DUMMYFUNCTION("""COMPUTED_VALUE"""),"The ""Understanding Design"" course series aims to create an awareness and understanding of the discipline of design and how it impacts society, industry, and the environment. This course is for those curious to understand how collaboration can enrich des"&amp;"ign by facilitating a combination of skills.")</f>
        <v>The "Understanding Design" course series aims to create an awareness and understanding of the discipline of design and how it impacts society, industry, and the environment. This course is for those curious to understand how collaboration can enrich design by facilitating a combination of skills.</v>
      </c>
      <c r="E362" s="18" t="str">
        <f>IFERROR(__xludf.DUMMYFUNCTION("""COMPUTED_VALUE"""),"Creativity and Innovation")</f>
        <v>Creativity and Innovation</v>
      </c>
      <c r="F362" s="10" t="str">
        <f>IFERROR(__xludf.DUMMYFUNCTION("""COMPUTED_VALUE"""),"IIT Bombay - Nina Sabnani")</f>
        <v>IIT Bombay - Nina Sabnani</v>
      </c>
      <c r="G362" s="11">
        <f>IFERROR(__xludf.DUMMYFUNCTION("""COMPUTED_VALUE"""),36.0)</f>
        <v>36</v>
      </c>
      <c r="H362" s="11">
        <f>IFERROR(__xludf.DUMMYFUNCTION("""COMPUTED_VALUE"""),16.0)</f>
        <v>16</v>
      </c>
      <c r="I362" s="12" t="str">
        <f>IFERROR(__xludf.DUMMYFUNCTION("""COMPUTED_VALUE"""),"English, German")</f>
        <v>English, German</v>
      </c>
      <c r="J362" s="12" t="str">
        <f>IFERROR(__xludf.DUMMYFUNCTION("""COMPUTED_VALUE"""),"English")</f>
        <v>English</v>
      </c>
      <c r="K362" s="13">
        <f>IFERROR(__xludf.DUMMYFUNCTION("""COMPUTED_VALUE"""),44729.0)</f>
        <v>44729</v>
      </c>
      <c r="L362" s="14" t="str">
        <f>IFERROR(__xludf.DUMMYFUNCTION("""COMPUTED_VALUE"""),"https://masterplan.com/courses/design-verstehen-vi-design-und-zusammenarbeit")</f>
        <v>https://masterplan.com/courses/design-verstehen-vi-design-und-zusammenarbeit</v>
      </c>
    </row>
    <row r="363">
      <c r="A363" s="15" t="str">
        <f>IFERROR(__xludf.DUMMYFUNCTION("""COMPUTED_VALUE"""),"Personalführung I: Talentmanagement")</f>
        <v>Personalführung I: Talentmanagement</v>
      </c>
      <c r="B363" s="16" t="str">
        <f>IFERROR(__xludf.DUMMYFUNCTION("""COMPUTED_VALUE"""),"Human Resources I: Managing Talent")</f>
        <v>Human Resources I: Managing Talent</v>
      </c>
      <c r="C363" s="17" t="str">
        <f>IFERROR(__xludf.DUMMYFUNCTION("""COMPUTED_VALUE"""),"Autonomie, Wertschätzung und Weiterbildungsmöglichkeiten – was brauchen Talente, um über sich hinauszuwachsen? Führungskräfte spielen hier eine entscheidende Rolle, denn das von Talenten ausgehende Engagement liegt allein in ihren Händen...")</f>
        <v>Autonomie, Wertschätzung und Weiterbildungsmöglichkeiten – was brauchen Talente, um über sich hinauszuwachsen? Führungskräfte spielen hier eine entscheidende Rolle, denn das von Talenten ausgehende Engagement liegt allein in ihren Händen...</v>
      </c>
      <c r="D363" s="17" t="str">
        <f>IFERROR(__xludf.DUMMYFUNCTION("""COMPUTED_VALUE"""),"Keeping talent engaged is something some entrepreneurs forget about. Don't be one of them! This course tells you exactly what talents really want and need to thrive even more. It's all about autonomy, recognition, mastery, and learning opportunities.")</f>
        <v>Keeping talent engaged is something some entrepreneurs forget about. Don't be one of them! This course tells you exactly what talents really want and need to thrive even more. It's all about autonomy, recognition, mastery, and learning opportunities.</v>
      </c>
      <c r="E363" s="9" t="str">
        <f>IFERROR(__xludf.DUMMYFUNCTION("""COMPUTED_VALUE"""),"Global Citizenship")</f>
        <v>Global Citizenship</v>
      </c>
      <c r="F363" s="19" t="str">
        <f>IFERROR(__xludf.DUMMYFUNCTION("""COMPUTED_VALUE"""),"WhiteCollarBlue")</f>
        <v>WhiteCollarBlue</v>
      </c>
      <c r="G363" s="20">
        <f>IFERROR(__xludf.DUMMYFUNCTION("""COMPUTED_VALUE"""),12.0)</f>
        <v>12</v>
      </c>
      <c r="H363" s="20">
        <f>IFERROR(__xludf.DUMMYFUNCTION("""COMPUTED_VALUE"""),8.0)</f>
        <v>8</v>
      </c>
      <c r="I363" s="21" t="str">
        <f>IFERROR(__xludf.DUMMYFUNCTION("""COMPUTED_VALUE"""),"English, German")</f>
        <v>English, German</v>
      </c>
      <c r="J363" s="21" t="str">
        <f>IFERROR(__xludf.DUMMYFUNCTION("""COMPUTED_VALUE"""),"English")</f>
        <v>English</v>
      </c>
      <c r="K363" s="22">
        <f>IFERROR(__xludf.DUMMYFUNCTION("""COMPUTED_VALUE"""),44729.0)</f>
        <v>44729</v>
      </c>
      <c r="L363" s="23" t="str">
        <f>IFERROR(__xludf.DUMMYFUNCTION("""COMPUTED_VALUE"""),"https://masterplan.com/courses/personalfuehrung-i-talentmanagement")</f>
        <v>https://masterplan.com/courses/personalfuehrung-i-talentmanagement</v>
      </c>
    </row>
    <row r="364">
      <c r="A364" s="6" t="str">
        <f>IFERROR(__xludf.DUMMYFUNCTION("""COMPUTED_VALUE"""),"Personalführung II: Strategische Planung")</f>
        <v>Personalführung II: Strategische Planung</v>
      </c>
      <c r="B364" s="7" t="str">
        <f>IFERROR(__xludf.DUMMYFUNCTION("""COMPUTED_VALUE"""),"Human Resources II: Purpose &amp; Goals")</f>
        <v>Human Resources II: Purpose &amp; Goals</v>
      </c>
      <c r="C364" s="8" t="str">
        <f>IFERROR(__xludf.DUMMYFUNCTION("""COMPUTED_VALUE"""),"Was treibt dich jeden Morgen an? Deinem persönlichen WHY zu folgen ist für dein Unternehmen unerlässlich, denn mit deinem WHY steht und fällt der Erfolg! Gleiches gilt für das sogenannte BHAG. Doch ziehst du mit deinem Team eigentlich an einem Strang?")</f>
        <v>Was treibt dich jeden Morgen an? Deinem persönlichen WHY zu folgen ist für dein Unternehmen unerlässlich, denn mit deinem WHY steht und fällt der Erfolg! Gleiches gilt für das sogenannte BHAG. Doch ziehst du mit deinem Team eigentlich an einem Strang?</v>
      </c>
      <c r="D364" s="8" t="str">
        <f>IFERROR(__xludf.DUMMYFUNCTION("""COMPUTED_VALUE"""),"What is your main driver? A business purpose is critical to any entrepreneur, as is setting up a ""Big Hairy Audacious Goal"" with your team members. How can you hold everyone accountable to the purpose and goals? Press play – the answer is only one click"&amp;" away!")</f>
        <v>What is your main driver? A business purpose is critical to any entrepreneur, as is setting up a "Big Hairy Audacious Goal" with your team members. How can you hold everyone accountable to the purpose and goals? Press play – the answer is only one click away!</v>
      </c>
      <c r="E364" s="9" t="str">
        <f>IFERROR(__xludf.DUMMYFUNCTION("""COMPUTED_VALUE"""),"Global Citizenship")</f>
        <v>Global Citizenship</v>
      </c>
      <c r="F364" s="10" t="str">
        <f>IFERROR(__xludf.DUMMYFUNCTION("""COMPUTED_VALUE"""),"WhiteCollarBlue")</f>
        <v>WhiteCollarBlue</v>
      </c>
      <c r="G364" s="11">
        <f>IFERROR(__xludf.DUMMYFUNCTION("""COMPUTED_VALUE"""),17.0)</f>
        <v>17</v>
      </c>
      <c r="H364" s="11">
        <f>IFERROR(__xludf.DUMMYFUNCTION("""COMPUTED_VALUE"""),6.0)</f>
        <v>6</v>
      </c>
      <c r="I364" s="12" t="str">
        <f>IFERROR(__xludf.DUMMYFUNCTION("""COMPUTED_VALUE"""),"English, German")</f>
        <v>English, German</v>
      </c>
      <c r="J364" s="12" t="str">
        <f>IFERROR(__xludf.DUMMYFUNCTION("""COMPUTED_VALUE"""),"English")</f>
        <v>English</v>
      </c>
      <c r="K364" s="13">
        <f>IFERROR(__xludf.DUMMYFUNCTION("""COMPUTED_VALUE"""),44729.0)</f>
        <v>44729</v>
      </c>
      <c r="L364" s="14" t="str">
        <f>IFERROR(__xludf.DUMMYFUNCTION("""COMPUTED_VALUE"""),"https://masterplan.com/courses/personalfuehrung-ii-strategische-planung")</f>
        <v>https://masterplan.com/courses/personalfuehrung-ii-strategische-planung</v>
      </c>
    </row>
    <row r="365">
      <c r="A365" s="15" t="str">
        <f>IFERROR(__xludf.DUMMYFUNCTION("""COMPUTED_VALUE"""),"Design Verstehen IV - Design und Nachhaltigkeit")</f>
        <v>Design Verstehen IV - Design und Nachhaltigkeit</v>
      </c>
      <c r="B365" s="16" t="str">
        <f>IFERROR(__xludf.DUMMYFUNCTION("""COMPUTED_VALUE"""),"Understanding Design IV - Design and Sustainability")</f>
        <v>Understanding Design IV - Design and Sustainability</v>
      </c>
      <c r="C365" s="17" t="str">
        <f>IFERROR(__xludf.DUMMYFUNCTION("""COMPUTED_VALUE"""),"Die Kursreihe ""Design verstehen"" schafft ein Bewusstsein und Verständnis für das Feld Design und zeigt, wie sie sich auf die Gesellschaft, die Industrie und die Umwelt auswirkt. Dieser Kurs richtet sich an alle, die neugierig auf soziale Gleichheit und "&amp;"Umweltschutz sind.")</f>
        <v>Die Kursreihe "Design verstehen" schafft ein Bewusstsein und Verständnis für das Feld Design und zeigt, wie sie sich auf die Gesellschaft, die Industrie und die Umwelt auswirkt. Dieser Kurs richtet sich an alle, die neugierig auf soziale Gleichheit und Umweltschutz sind.</v>
      </c>
      <c r="D365" s="17" t="str">
        <f>IFERROR(__xludf.DUMMYFUNCTION("""COMPUTED_VALUE"""),"The ""Understanding Design"" course series aims to create an awareness and understanding of the discipline of design and how it impacts society, industry, and the environment. This course is for those curious to understand social equality and environmenta"&amp;"l conservation.")</f>
        <v>The "Understanding Design" course series aims to create an awareness and understanding of the discipline of design and how it impacts society, industry, and the environment. This course is for those curious to understand social equality and environmental conservation.</v>
      </c>
      <c r="E365" s="18" t="str">
        <f>IFERROR(__xludf.DUMMYFUNCTION("""COMPUTED_VALUE"""),"Creativity and Innovation")</f>
        <v>Creativity and Innovation</v>
      </c>
      <c r="F365" s="19" t="str">
        <f>IFERROR(__xludf.DUMMYFUNCTION("""COMPUTED_VALUE"""),"IIT Bombay - Nina Sabnani")</f>
        <v>IIT Bombay - Nina Sabnani</v>
      </c>
      <c r="G365" s="20">
        <f>IFERROR(__xludf.DUMMYFUNCTION("""COMPUTED_VALUE"""),32.0)</f>
        <v>32</v>
      </c>
      <c r="H365" s="20">
        <f>IFERROR(__xludf.DUMMYFUNCTION("""COMPUTED_VALUE"""),14.0)</f>
        <v>14</v>
      </c>
      <c r="I365" s="21" t="str">
        <f>IFERROR(__xludf.DUMMYFUNCTION("""COMPUTED_VALUE"""),"English, German")</f>
        <v>English, German</v>
      </c>
      <c r="J365" s="21" t="str">
        <f>IFERROR(__xludf.DUMMYFUNCTION("""COMPUTED_VALUE"""),"English")</f>
        <v>English</v>
      </c>
      <c r="K365" s="22">
        <f>IFERROR(__xludf.DUMMYFUNCTION("""COMPUTED_VALUE"""),44727.0)</f>
        <v>44727</v>
      </c>
      <c r="L365" s="23" t="str">
        <f>IFERROR(__xludf.DUMMYFUNCTION("""COMPUTED_VALUE"""),"https://masterplan.com/courses/design-verstehen-iv-design-und-nachhaltigkeit")</f>
        <v>https://masterplan.com/courses/design-verstehen-iv-design-und-nachhaltigkeit</v>
      </c>
    </row>
    <row r="366">
      <c r="A366" s="6" t="str">
        <f>IFERROR(__xludf.DUMMYFUNCTION("""COMPUTED_VALUE"""),"Design Verstehen I - Eine Einführung in Design")</f>
        <v>Design Verstehen I - Eine Einführung in Design</v>
      </c>
      <c r="B366" s="7" t="str">
        <f>IFERROR(__xludf.DUMMYFUNCTION("""COMPUTED_VALUE"""),"Understanding Design I - An Introduction to Design")</f>
        <v>Understanding Design I - An Introduction to Design</v>
      </c>
      <c r="C366" s="8" t="str">
        <f>IFERROR(__xludf.DUMMYFUNCTION("""COMPUTED_VALUE"""),"Die Kursreihe ""Design verstehen"" schafft ein Bewusstsein und Verständnis für das Feld Design und zeigt, wie sie sich auf die Gesellschaft, die Industrie und die Umwelt auswirkt. Dieser Kurs richtet sich an alle, die wissen wollen, was Design ist und war"&amp;"um es so wichtig ist.")</f>
        <v>Die Kursreihe "Design verstehen" schafft ein Bewusstsein und Verständnis für das Feld Design und zeigt, wie sie sich auf die Gesellschaft, die Industrie und die Umwelt auswirkt. Dieser Kurs richtet sich an alle, die wissen wollen, was Design ist und warum es so wichtig ist.</v>
      </c>
      <c r="D366" s="8" t="str">
        <f>IFERROR(__xludf.DUMMYFUNCTION("""COMPUTED_VALUE"""),"The ""Understanding Design"" course series aims to create an awareness and understanding of the discipline of design and how it impacts society, industry, and the environment. This course is for those curious to understand what design is and why it is imp"&amp;"ortant.")</f>
        <v>The "Understanding Design" course series aims to create an awareness and understanding of the discipline of design and how it impacts society, industry, and the environment. This course is for those curious to understand what design is and why it is important.</v>
      </c>
      <c r="E366" s="18" t="str">
        <f>IFERROR(__xludf.DUMMYFUNCTION("""COMPUTED_VALUE"""),"Creativity and Innovation")</f>
        <v>Creativity and Innovation</v>
      </c>
      <c r="F366" s="10" t="str">
        <f>IFERROR(__xludf.DUMMYFUNCTION("""COMPUTED_VALUE"""),"IIT Bombay - Nina Sabnani")</f>
        <v>IIT Bombay - Nina Sabnani</v>
      </c>
      <c r="G366" s="11">
        <f>IFERROR(__xludf.DUMMYFUNCTION("""COMPUTED_VALUE"""),31.0)</f>
        <v>31</v>
      </c>
      <c r="H366" s="11">
        <f>IFERROR(__xludf.DUMMYFUNCTION("""COMPUTED_VALUE"""),13.0)</f>
        <v>13</v>
      </c>
      <c r="I366" s="12" t="str">
        <f>IFERROR(__xludf.DUMMYFUNCTION("""COMPUTED_VALUE"""),"English, German")</f>
        <v>English, German</v>
      </c>
      <c r="J366" s="12" t="str">
        <f>IFERROR(__xludf.DUMMYFUNCTION("""COMPUTED_VALUE"""),"English")</f>
        <v>English</v>
      </c>
      <c r="K366" s="13">
        <f>IFERROR(__xludf.DUMMYFUNCTION("""COMPUTED_VALUE"""),44712.0)</f>
        <v>44712</v>
      </c>
      <c r="L366" s="14" t="str">
        <f>IFERROR(__xludf.DUMMYFUNCTION("""COMPUTED_VALUE"""),"https://masterplan.com/courses/design-verstehen-i-eine-einfuehrung-in-design")</f>
        <v>https://masterplan.com/courses/design-verstehen-i-eine-einfuehrung-in-design</v>
      </c>
    </row>
    <row r="367">
      <c r="A367" s="15" t="str">
        <f>IFERROR(__xludf.DUMMYFUNCTION("""COMPUTED_VALUE"""),"Design Verstehen II - User und Kontext")</f>
        <v>Design Verstehen II - User und Kontext</v>
      </c>
      <c r="B367" s="16" t="str">
        <f>IFERROR(__xludf.DUMMYFUNCTION("""COMPUTED_VALUE"""),"Understanding Design II - Users and Context")</f>
        <v>Understanding Design II - Users and Context</v>
      </c>
      <c r="C367" s="17" t="str">
        <f>IFERROR(__xludf.DUMMYFUNCTION("""COMPUTED_VALUE"""),"Die Kursreihe ""Design verstehen"" schafft ein Bewusstsein und Verständnis für das Feld Design. Dieser Kurs richtet sich an alle, die wissen wollen, welche Rolle Nutzer:innen spielen und wie Designer:innen deren Bedürfnisse in bestimmten Kontexten berücks"&amp;"ichtigen können.")</f>
        <v>Die Kursreihe "Design verstehen" schafft ein Bewusstsein und Verständnis für das Feld Design. Dieser Kurs richtet sich an alle, die wissen wollen, welche Rolle Nutzer:innen spielen und wie Designer:innen deren Bedürfnisse in bestimmten Kontexten berücksichtigen können.</v>
      </c>
      <c r="D367" s="17" t="str">
        <f>IFERROR(__xludf.DUMMYFUNCTION("""COMPUTED_VALUE"""),"The ""Understanding Design"" course series aims to create an awareness and understanding of the discipline of design. This course is for those curious about why the user is important to design and how the designer can become sensitive to user needs in spe"&amp;"cific contexts.")</f>
        <v>The "Understanding Design" course series aims to create an awareness and understanding of the discipline of design. This course is for those curious about why the user is important to design and how the designer can become sensitive to user needs in specific contexts.</v>
      </c>
      <c r="E367" s="18" t="str">
        <f>IFERROR(__xludf.DUMMYFUNCTION("""COMPUTED_VALUE"""),"Creativity and Innovation")</f>
        <v>Creativity and Innovation</v>
      </c>
      <c r="F367" s="19" t="str">
        <f>IFERROR(__xludf.DUMMYFUNCTION("""COMPUTED_VALUE"""),"IIT Bombay - Nina Sabnani")</f>
        <v>IIT Bombay - Nina Sabnani</v>
      </c>
      <c r="G367" s="20">
        <f>IFERROR(__xludf.DUMMYFUNCTION("""COMPUTED_VALUE"""),19.0)</f>
        <v>19</v>
      </c>
      <c r="H367" s="20">
        <f>IFERROR(__xludf.DUMMYFUNCTION("""COMPUTED_VALUE"""),12.0)</f>
        <v>12</v>
      </c>
      <c r="I367" s="21" t="str">
        <f>IFERROR(__xludf.DUMMYFUNCTION("""COMPUTED_VALUE"""),"English, German")</f>
        <v>English, German</v>
      </c>
      <c r="J367" s="21" t="str">
        <f>IFERROR(__xludf.DUMMYFUNCTION("""COMPUTED_VALUE"""),"English")</f>
        <v>English</v>
      </c>
      <c r="K367" s="22">
        <f>IFERROR(__xludf.DUMMYFUNCTION("""COMPUTED_VALUE"""),44712.0)</f>
        <v>44712</v>
      </c>
      <c r="L367" s="23" t="str">
        <f>IFERROR(__xludf.DUMMYFUNCTION("""COMPUTED_VALUE"""),"https://masterplan.com/courses/design-verstehen-ii-user-und-kontext")</f>
        <v>https://masterplan.com/courses/design-verstehen-ii-user-und-kontext</v>
      </c>
    </row>
    <row r="368">
      <c r="A368" s="6" t="str">
        <f>IFERROR(__xludf.DUMMYFUNCTION("""COMPUTED_VALUE"""),"Design Verstehen III - Design und Gesellschaft")</f>
        <v>Design Verstehen III - Design und Gesellschaft</v>
      </c>
      <c r="B368" s="7" t="str">
        <f>IFERROR(__xludf.DUMMYFUNCTION("""COMPUTED_VALUE"""),"Understanding Design III - Design and Society")</f>
        <v>Understanding Design III - Design and Society</v>
      </c>
      <c r="C368" s="8" t="str">
        <f>IFERROR(__xludf.DUMMYFUNCTION("""COMPUTED_VALUE"""),"Die Kursreihe ""Design verstehen"" schafft ein Bewusstsein und Verständnis für das Feld Design und zeigt, wie sie sich auf die Gesellschaft, die Industrie und die Umwelt auswirkt. Dieser Kurs richtet sich an alle, die wissen wollen, wie Design die Gesells"&amp;"chaft maßgeblich beeinflusst.")</f>
        <v>Die Kursreihe "Design verstehen" schafft ein Bewusstsein und Verständnis für das Feld Design und zeigt, wie sie sich auf die Gesellschaft, die Industrie und die Umwelt auswirkt. Dieser Kurs richtet sich an alle, die wissen wollen, wie Design die Gesellschaft maßgeblich beeinflusst.</v>
      </c>
      <c r="D368" s="8" t="str">
        <f>IFERROR(__xludf.DUMMYFUNCTION("""COMPUTED_VALUE"""),"The ""Understanding Design"" course series aims to create an awareness and understanding of the discipline of design and how it impacts society, industry, and the environment. This course is for those curious to understand how design significantly impacts"&amp;" society.")</f>
        <v>The "Understanding Design" course series aims to create an awareness and understanding of the discipline of design and how it impacts society, industry, and the environment. This course is for those curious to understand how design significantly impacts society.</v>
      </c>
      <c r="E368" s="18" t="str">
        <f>IFERROR(__xludf.DUMMYFUNCTION("""COMPUTED_VALUE"""),"Creativity and Innovation")</f>
        <v>Creativity and Innovation</v>
      </c>
      <c r="F368" s="10" t="str">
        <f>IFERROR(__xludf.DUMMYFUNCTION("""COMPUTED_VALUE"""),"IIT Bombay - Nina Sabnani")</f>
        <v>IIT Bombay - Nina Sabnani</v>
      </c>
      <c r="G368" s="11">
        <f>IFERROR(__xludf.DUMMYFUNCTION("""COMPUTED_VALUE"""),28.0)</f>
        <v>28</v>
      </c>
      <c r="H368" s="11">
        <f>IFERROR(__xludf.DUMMYFUNCTION("""COMPUTED_VALUE"""),14.0)</f>
        <v>14</v>
      </c>
      <c r="I368" s="12" t="str">
        <f>IFERROR(__xludf.DUMMYFUNCTION("""COMPUTED_VALUE"""),"English, German")</f>
        <v>English, German</v>
      </c>
      <c r="J368" s="12" t="str">
        <f>IFERROR(__xludf.DUMMYFUNCTION("""COMPUTED_VALUE"""),"English")</f>
        <v>English</v>
      </c>
      <c r="K368" s="13">
        <f>IFERROR(__xludf.DUMMYFUNCTION("""COMPUTED_VALUE"""),44712.0)</f>
        <v>44712</v>
      </c>
      <c r="L368" s="14" t="str">
        <f>IFERROR(__xludf.DUMMYFUNCTION("""COMPUTED_VALUE"""),"https://masterplan.com/courses/design-verstehen-iii-design-und-gesellschaft")</f>
        <v>https://masterplan.com/courses/design-verstehen-iii-design-und-gesellschaft</v>
      </c>
    </row>
    <row r="369">
      <c r="A369" s="15" t="str">
        <f>IFERROR(__xludf.DUMMYFUNCTION("""COMPUTED_VALUE"""),"Hard Tech von IBM: Die Computing Revolution")</f>
        <v>Hard Tech von IBM: Die Computing Revolution</v>
      </c>
      <c r="B369" s="16" t="str">
        <f>IFERROR(__xludf.DUMMYFUNCTION("""COMPUTED_VALUE"""),"Hard Tech at IBM: the Computing Revolution")</f>
        <v>Hard Tech at IBM: the Computing Revolution</v>
      </c>
      <c r="C369" s="17" t="str">
        <f>IFERROR(__xludf.DUMMYFUNCTION("""COMPUTED_VALUE"""),"Hardtech ist das, was hinter den meisten Innovationen steckt. Wie diese Technologien Wirtschaft, Chemie und Programmierung revolutionieren, verraten dir die genialen Köpfe hinter dem US-amerikanischen IT- und Beratungsunternehmen IBM.")</f>
        <v>Hardtech ist das, was hinter den meisten Innovationen steckt. Wie diese Technologien Wirtschaft, Chemie und Programmierung revolutionieren, verraten dir die genialen Köpfe hinter dem US-amerikanischen IT- und Beratungsunternehmen IBM.</v>
      </c>
      <c r="D369" s="17" t="str">
        <f>IFERROR(__xludf.DUMMYFUNCTION("""COMPUTED_VALUE"""),"Behind most groundbreaking innovations, you'll find a piece of hard tech. In this course, you'll hear directly from the minds behind these technologies at IBM, how they work, and how they can be used to revolutionize the world of business, coding, chemist"&amp;"ry, and beyond.")</f>
        <v>Behind most groundbreaking innovations, you'll find a piece of hard tech. In this course, you'll hear directly from the minds behind these technologies at IBM, how they work, and how they can be used to revolutionize the world of business, coding, chemistry, and beyond.</v>
      </c>
      <c r="E369" s="25" t="str">
        <f>IFERROR(__xludf.DUMMYFUNCTION("""COMPUTED_VALUE"""),"Digital Literacy")</f>
        <v>Digital Literacy</v>
      </c>
      <c r="F369" s="19" t="str">
        <f>IFERROR(__xludf.DUMMYFUNCTION("""COMPUTED_VALUE"""),"IBM Research - Darío Gil")</f>
        <v>IBM Research - Darío Gil</v>
      </c>
      <c r="G369" s="20">
        <f>IFERROR(__xludf.DUMMYFUNCTION("""COMPUTED_VALUE"""),49.0)</f>
        <v>49</v>
      </c>
      <c r="H369" s="20">
        <f>IFERROR(__xludf.DUMMYFUNCTION("""COMPUTED_VALUE"""),11.0)</f>
        <v>11</v>
      </c>
      <c r="I369" s="21" t="str">
        <f>IFERROR(__xludf.DUMMYFUNCTION("""COMPUTED_VALUE"""),"English, German")</f>
        <v>English, German</v>
      </c>
      <c r="J369" s="21" t="str">
        <f>IFERROR(__xludf.DUMMYFUNCTION("""COMPUTED_VALUE"""),"English")</f>
        <v>English</v>
      </c>
      <c r="K369" s="22">
        <f>IFERROR(__xludf.DUMMYFUNCTION("""COMPUTED_VALUE"""),44711.0)</f>
        <v>44711</v>
      </c>
      <c r="L369" s="23" t="str">
        <f>IFERROR(__xludf.DUMMYFUNCTION("""COMPUTED_VALUE"""),"https://masterplan.com/courses/hard-tech-von-ibm-die-computing-revolution")</f>
        <v>https://masterplan.com/courses/hard-tech-von-ibm-die-computing-revolution</v>
      </c>
    </row>
    <row r="370">
      <c r="A370" s="6" t="str">
        <f>IFERROR(__xludf.DUMMYFUNCTION("""COMPUTED_VALUE"""),"Culture of Good: 18 Impulse für deine Unternehmenskultur")</f>
        <v>Culture of Good: 18 Impulse für deine Unternehmenskultur</v>
      </c>
      <c r="B370" s="7" t="str">
        <f>IFERROR(__xludf.DUMMYFUNCTION("""COMPUTED_VALUE"""),"Culture of Good: 18 Inspirations for Your Company Culture")</f>
        <v>Culture of Good: 18 Inspirations for Your Company Culture</v>
      </c>
      <c r="C370" s="8" t="str">
        <f>IFERROR(__xludf.DUMMYFUNCTION("""COMPUTED_VALUE"""),"Auf der Suche nach ein bisschen Inspiration für deine Unternehmenskultur? Dann haben wir den passenden Kurs für dich: 18 Impulse, mit denen du deine Kultur verbesserst und Angestellte motivierst - einfach, schnell und garantiert umsetzbar!")</f>
        <v>Auf der Suche nach ein bisschen Inspiration für deine Unternehmenskultur? Dann haben wir den passenden Kurs für dich: 18 Impulse, mit denen du deine Kultur verbesserst und Angestellte motivierst - einfach, schnell und garantiert umsetzbar!</v>
      </c>
      <c r="D370" s="8" t="str">
        <f>IFERROR(__xludf.DUMMYFUNCTION("""COMPUTED_VALUE"""),"Looking for a little inspiration for your corporate culture? Look no further– here you'll learn 18 inspiring ideas to improve your culture and motivate your employees which are simple, quick and guaranteed to work!")</f>
        <v>Looking for a little inspiration for your corporate culture? Look no further– here you'll learn 18 inspiring ideas to improve your culture and motivate your employees which are simple, quick and guaranteed to work!</v>
      </c>
      <c r="E370" s="26" t="str">
        <f>IFERROR(__xludf.DUMMYFUNCTION("""COMPUTED_VALUE"""),"Collaboration and Leadership")</f>
        <v>Collaboration and Leadership</v>
      </c>
      <c r="F370" s="10" t="str">
        <f>IFERROR(__xludf.DUMMYFUNCTION("""COMPUTED_VALUE"""),"Culture of Good - Ryan McCarty")</f>
        <v>Culture of Good - Ryan McCarty</v>
      </c>
      <c r="G370" s="11">
        <f>IFERROR(__xludf.DUMMYFUNCTION("""COMPUTED_VALUE"""),34.0)</f>
        <v>34</v>
      </c>
      <c r="H370" s="11">
        <f>IFERROR(__xludf.DUMMYFUNCTION("""COMPUTED_VALUE"""),8.0)</f>
        <v>8</v>
      </c>
      <c r="I370" s="12" t="str">
        <f>IFERROR(__xludf.DUMMYFUNCTION("""COMPUTED_VALUE"""),"English, German")</f>
        <v>English, German</v>
      </c>
      <c r="J370" s="12" t="str">
        <f>IFERROR(__xludf.DUMMYFUNCTION("""COMPUTED_VALUE"""),"English, German")</f>
        <v>English, German</v>
      </c>
      <c r="K370" s="13">
        <f>IFERROR(__xludf.DUMMYFUNCTION("""COMPUTED_VALUE"""),44711.0)</f>
        <v>44711</v>
      </c>
      <c r="L370" s="14" t="str">
        <f>IFERROR(__xludf.DUMMYFUNCTION("""COMPUTED_VALUE"""),"https://masterplan.com/courses/culture-of-good-18-impulse-fuer-deine-unternehmenskultur")</f>
        <v>https://masterplan.com/courses/culture-of-good-18-impulse-fuer-deine-unternehmenskultur</v>
      </c>
    </row>
    <row r="371">
      <c r="A371" s="15" t="str">
        <f>IFERROR(__xludf.DUMMYFUNCTION("""COMPUTED_VALUE"""),"Mitarbeiterführung VII: Motivatoren und Demotivatoren")</f>
        <v>Mitarbeiterführung VII: Motivatoren und Demotivatoren</v>
      </c>
      <c r="B371" s="16" t="str">
        <f>IFERROR(__xludf.DUMMYFUNCTION("""COMPUTED_VALUE"""),"Leading Employees VII: Motivators and Demotivators")</f>
        <v>Leading Employees VII: Motivators and Demotivators</v>
      </c>
      <c r="C371" s="17" t="str">
        <f>IFERROR(__xludf.DUMMYFUNCTION("""COMPUTED_VALUE"""),"Liegt es in deiner Verantwortung, deine Mitarbeitenden zu motivieren? Demotivation kommt oft nicht von ungefähr – Belohnungssysteme spielen hierbei überraschenderweise eine Rolle und auch, mit welchem Beispiel du tagtäglich vorangehst.")</f>
        <v>Liegt es in deiner Verantwortung, deine Mitarbeitenden zu motivieren? Demotivation kommt oft nicht von ungefähr – Belohnungssysteme spielen hierbei überraschenderweise eine Rolle und auch, mit welchem Beispiel du tagtäglich vorangehst.</v>
      </c>
      <c r="D371" s="17" t="str">
        <f>IFERROR(__xludf.DUMMYFUNCTION("""COMPUTED_VALUE"""),"Is it your responsibility to motivate your employees? Demotivation often doesn't happen by chance - reward systems play a surprising role, as well as the example you set every day, so learn how to set a positive one to motivate your whole team!")</f>
        <v>Is it your responsibility to motivate your employees? Demotivation often doesn't happen by chance - reward systems play a surprising role, as well as the example you set every day, so learn how to set a positive one to motivate your whole team!</v>
      </c>
      <c r="E371" s="26" t="str">
        <f>IFERROR(__xludf.DUMMYFUNCTION("""COMPUTED_VALUE"""),"Collaboration and Leadership")</f>
        <v>Collaboration and Leadership</v>
      </c>
      <c r="F371" s="19" t="str">
        <f>IFERROR(__xludf.DUMMYFUNCTION("""COMPUTED_VALUE"""),"Zeit Akademie - Niels Van Quaquebeke")</f>
        <v>Zeit Akademie - Niels Van Quaquebeke</v>
      </c>
      <c r="G371" s="20">
        <f>IFERROR(__xludf.DUMMYFUNCTION("""COMPUTED_VALUE"""),56.0)</f>
        <v>56</v>
      </c>
      <c r="H371" s="20">
        <f>IFERROR(__xludf.DUMMYFUNCTION("""COMPUTED_VALUE"""),23.0)</f>
        <v>23</v>
      </c>
      <c r="I371" s="21" t="str">
        <f>IFERROR(__xludf.DUMMYFUNCTION("""COMPUTED_VALUE"""),"English, German")</f>
        <v>English, German</v>
      </c>
      <c r="J371" s="21" t="str">
        <f>IFERROR(__xludf.DUMMYFUNCTION("""COMPUTED_VALUE"""),"German")</f>
        <v>German</v>
      </c>
      <c r="K371" s="22">
        <f>IFERROR(__xludf.DUMMYFUNCTION("""COMPUTED_VALUE"""),44708.0)</f>
        <v>44708</v>
      </c>
      <c r="L371" s="23" t="str">
        <f>IFERROR(__xludf.DUMMYFUNCTION("""COMPUTED_VALUE"""),"https://masterplan.com/courses/mitarbeiterfuehrung-vii-motivatoren-und-demotivatoren")</f>
        <v>https://masterplan.com/courses/mitarbeiterfuehrung-vii-motivatoren-und-demotivatoren</v>
      </c>
    </row>
    <row r="372">
      <c r="A372" s="6" t="str">
        <f>IFERROR(__xludf.DUMMYFUNCTION("""COMPUTED_VALUE"""),"Gut entscheiden III: Aus Fehlern lernen")</f>
        <v>Gut entscheiden III: Aus Fehlern lernen</v>
      </c>
      <c r="B372" s="7" t="str">
        <f>IFERROR(__xludf.DUMMYFUNCTION("""COMPUTED_VALUE"""),"Decision Making III: Learning From Mistakes")</f>
        <v>Decision Making III: Learning From Mistakes</v>
      </c>
      <c r="C372" s="8" t="str">
        <f>IFERROR(__xludf.DUMMYFUNCTION("""COMPUTED_VALUE"""),"Kein Mensch ist fehlbar. Ein Glück, denn nur aus vergangenen Fehlern lässt sich lernen. Welche Rolle Monopolys Gefängnisfreikarte  hierbei spielt und warum du deinen Mitarbeitenden hin und wieder kompletten Schwachsinn erzählen solltest? Finde es heraus!")</f>
        <v>Kein Mensch ist fehlbar. Ein Glück, denn nur aus vergangenen Fehlern lässt sich lernen. Welche Rolle Monopolys Gefängnisfreikarte  hierbei spielt und warum du deinen Mitarbeitenden hin und wieder kompletten Schwachsinn erzählen solltest? Finde es heraus!</v>
      </c>
      <c r="D372" s="8" t="str">
        <f>IFERROR(__xludf.DUMMYFUNCTION("""COMPUTED_VALUE"""),"No human being is fallible. That's fortunate, because you can only learn from past mistakes. What role does Monopoly's prison free card play in this and why you should tell your employees complete nonsense every now and then? Find out!")</f>
        <v>No human being is fallible. That's fortunate, because you can only learn from past mistakes. What role does Monopoly's prison free card play in this and why you should tell your employees complete nonsense every now and then? Find out!</v>
      </c>
      <c r="E372" s="26" t="str">
        <f>IFERROR(__xludf.DUMMYFUNCTION("""COMPUTED_VALUE"""),"Collaboration and Leadership")</f>
        <v>Collaboration and Leadership</v>
      </c>
      <c r="F372" s="10" t="str">
        <f>IFERROR(__xludf.DUMMYFUNCTION("""COMPUTED_VALUE"""),"Zeit Akademie - Dr. Niklas Keller")</f>
        <v>Zeit Akademie - Dr. Niklas Keller</v>
      </c>
      <c r="G372" s="11">
        <f>IFERROR(__xludf.DUMMYFUNCTION("""COMPUTED_VALUE"""),20.0)</f>
        <v>20</v>
      </c>
      <c r="H372" s="11">
        <f>IFERROR(__xludf.DUMMYFUNCTION("""COMPUTED_VALUE"""),18.0)</f>
        <v>18</v>
      </c>
      <c r="I372" s="12" t="str">
        <f>IFERROR(__xludf.DUMMYFUNCTION("""COMPUTED_VALUE"""),"English, German")</f>
        <v>English, German</v>
      </c>
      <c r="J372" s="12" t="str">
        <f>IFERROR(__xludf.DUMMYFUNCTION("""COMPUTED_VALUE"""),"German")</f>
        <v>German</v>
      </c>
      <c r="K372" s="13">
        <f>IFERROR(__xludf.DUMMYFUNCTION("""COMPUTED_VALUE"""),44708.0)</f>
        <v>44708</v>
      </c>
      <c r="L372" s="14" t="str">
        <f>IFERROR(__xludf.DUMMYFUNCTION("""COMPUTED_VALUE"""),"https://masterplan.com/courses/gut-entscheiden-iii-aus-fehlern-lernen")</f>
        <v>https://masterplan.com/courses/gut-entscheiden-iii-aus-fehlern-lernen</v>
      </c>
    </row>
    <row r="373">
      <c r="A373" s="15" t="str">
        <f>IFERROR(__xludf.DUMMYFUNCTION("""COMPUTED_VALUE"""),"Gut entscheiden I: Risiko abwägen, Unsicherheiten erkennen")</f>
        <v>Gut entscheiden I: Risiko abwägen, Unsicherheiten erkennen</v>
      </c>
      <c r="B373" s="16" t="str">
        <f>IFERROR(__xludf.DUMMYFUNCTION("""COMPUTED_VALUE"""),"Decision Making I: Assess Risks, Recognize Uncertainties")</f>
        <v>Decision Making I: Assess Risks, Recognize Uncertainties</v>
      </c>
      <c r="C373" s="17" t="str">
        <f>IFERROR(__xludf.DUMMYFUNCTION("""COMPUTED_VALUE"""),"""Soll ich's wirklich machen oder lass ich's lieber sein?"" Eine Entscheidung zu treffen ist nicht immer einfach. Abnehmen können wir dir deine Entscheidungen nicht, aber wir greifen dir unter die Arme, indem wir dir das richtige Entscheidungswerkzeug an "&amp;"die Hand geben!")</f>
        <v>"Soll ich's wirklich machen oder lass ich's lieber sein?" Eine Entscheidung zu treffen ist nicht immer einfach. Abnehmen können wir dir deine Entscheidungen nicht, aber wir greifen dir unter die Arme, indem wir dir das richtige Entscheidungswerkzeug an die Hand geben!</v>
      </c>
      <c r="D373" s="17" t="str">
        <f>IFERROR(__xludf.DUMMYFUNCTION("""COMPUTED_VALUE"""),"""Should I stay or should I go?"" Making a decision is not always easy. We can't take the decision away from you, but we can support by giving you the right decision-making tools!")</f>
        <v>"Should I stay or should I go?" Making a decision is not always easy. We can't take the decision away from you, but we can support by giving you the right decision-making tools!</v>
      </c>
      <c r="E373" s="26" t="str">
        <f>IFERROR(__xludf.DUMMYFUNCTION("""COMPUTED_VALUE"""),"Collaboration and Leadership")</f>
        <v>Collaboration and Leadership</v>
      </c>
      <c r="F373" s="19" t="str">
        <f>IFERROR(__xludf.DUMMYFUNCTION("""COMPUTED_VALUE"""),"Zeit Akademie - Dr. Niklas Keller")</f>
        <v>Zeit Akademie - Dr. Niklas Keller</v>
      </c>
      <c r="G373" s="20">
        <f>IFERROR(__xludf.DUMMYFUNCTION("""COMPUTED_VALUE"""),27.0)</f>
        <v>27</v>
      </c>
      <c r="H373" s="20">
        <f>IFERROR(__xludf.DUMMYFUNCTION("""COMPUTED_VALUE"""),21.0)</f>
        <v>21</v>
      </c>
      <c r="I373" s="21" t="str">
        <f>IFERROR(__xludf.DUMMYFUNCTION("""COMPUTED_VALUE"""),"English, German")</f>
        <v>English, German</v>
      </c>
      <c r="J373" s="21" t="str">
        <f>IFERROR(__xludf.DUMMYFUNCTION("""COMPUTED_VALUE"""),"German")</f>
        <v>German</v>
      </c>
      <c r="K373" s="22">
        <f>IFERROR(__xludf.DUMMYFUNCTION("""COMPUTED_VALUE"""),44706.0)</f>
        <v>44706</v>
      </c>
      <c r="L373" s="23" t="str">
        <f>IFERROR(__xludf.DUMMYFUNCTION("""COMPUTED_VALUE"""),"https://masterplan.com/courses/gut-entscheiden-i-risiko-abwaegen-unsicherheiten-erkennen")</f>
        <v>https://masterplan.com/courses/gut-entscheiden-i-risiko-abwaegen-unsicherheiten-erkennen</v>
      </c>
    </row>
    <row r="374">
      <c r="A374" s="6" t="str">
        <f>IFERROR(__xludf.DUMMYFUNCTION("""COMPUTED_VALUE"""),"Gut entscheiden II: Unsicherheiten richtig managen")</f>
        <v>Gut entscheiden II: Unsicherheiten richtig managen</v>
      </c>
      <c r="B374" s="7" t="str">
        <f>IFERROR(__xludf.DUMMYFUNCTION("""COMPUTED_VALUE"""),"Decision Making II: How to Manage Uncertainties")</f>
        <v>Decision Making II: How to Manage Uncertainties</v>
      </c>
      <c r="C374" s="8" t="str">
        <f>IFERROR(__xludf.DUMMYFUNCTION("""COMPUTED_VALUE"""),"Entscheidungen im Innovationsbereich werden in der Regel unter hoher Unsicherheit getroffen. Das ist nicht so dramatisch, wie es klingt – sofern du die Unsicherheit in der Innovations- und Produktentwicklung zu erkennen, reduzieren und zu managen weißt.")</f>
        <v>Entscheidungen im Innovationsbereich werden in der Regel unter hoher Unsicherheit getroffen. Das ist nicht so dramatisch, wie es klingt – sofern du die Unsicherheit in der Innovations- und Produktentwicklung zu erkennen, reduzieren und zu managen weißt.</v>
      </c>
      <c r="D374" s="8" t="str">
        <f>IFERROR(__xludf.DUMMYFUNCTION("""COMPUTED_VALUE"""),"Innovative decisions are usually made with high uncertainty. But that doesn't need to be a bad thing – as long as you know how to recognize, reduce, and manage uncertainty in innovation and product development and use it to your advantange. Learn how here"&amp;"!")</f>
        <v>Innovative decisions are usually made with high uncertainty. But that doesn't need to be a bad thing – as long as you know how to recognize, reduce, and manage uncertainty in innovation and product development and use it to your advantange. Learn how here!</v>
      </c>
      <c r="E374" s="26" t="str">
        <f>IFERROR(__xludf.DUMMYFUNCTION("""COMPUTED_VALUE"""),"Collaboration and Leadership")</f>
        <v>Collaboration and Leadership</v>
      </c>
      <c r="F374" s="10" t="str">
        <f>IFERROR(__xludf.DUMMYFUNCTION("""COMPUTED_VALUE"""),"Zeit Akademie - Dr. Niklas Keller")</f>
        <v>Zeit Akademie - Dr. Niklas Keller</v>
      </c>
      <c r="G374" s="11">
        <f>IFERROR(__xludf.DUMMYFUNCTION("""COMPUTED_VALUE"""),20.0)</f>
        <v>20</v>
      </c>
      <c r="H374" s="11">
        <f>IFERROR(__xludf.DUMMYFUNCTION("""COMPUTED_VALUE"""),13.0)</f>
        <v>13</v>
      </c>
      <c r="I374" s="12" t="str">
        <f>IFERROR(__xludf.DUMMYFUNCTION("""COMPUTED_VALUE"""),"English, German")</f>
        <v>English, German</v>
      </c>
      <c r="J374" s="12" t="str">
        <f>IFERROR(__xludf.DUMMYFUNCTION("""COMPUTED_VALUE"""),"German")</f>
        <v>German</v>
      </c>
      <c r="K374" s="13">
        <f>IFERROR(__xludf.DUMMYFUNCTION("""COMPUTED_VALUE"""),44706.0)</f>
        <v>44706</v>
      </c>
      <c r="L374" s="14" t="str">
        <f>IFERROR(__xludf.DUMMYFUNCTION("""COMPUTED_VALUE"""),"https://masterplan.com/courses/gut-entscheiden-ii-unsicherheiten-richtig-managen")</f>
        <v>https://masterplan.com/courses/gut-entscheiden-ii-unsicherheiten-richtig-managen</v>
      </c>
    </row>
    <row r="375">
      <c r="A375" s="15" t="str">
        <f>IFERROR(__xludf.DUMMYFUNCTION("""COMPUTED_VALUE"""),"Teams führen III: Kreiere eine Gruppenidentität")</f>
        <v>Teams führen III: Kreiere eine Gruppenidentität</v>
      </c>
      <c r="B375" s="16" t="str">
        <f>IFERROR(__xludf.DUMMYFUNCTION("""COMPUTED_VALUE"""),"Leading Teams III: Forming a Group Identity")</f>
        <v>Leading Teams III: Forming a Group Identity</v>
      </c>
      <c r="C375" s="17" t="str">
        <f>IFERROR(__xludf.DUMMYFUNCTION("""COMPUTED_VALUE"""),"Wie kannst du als Führungskraft eine Gruppenidentität etablieren? Indem du ohne Vorurteile führst und das zur Grundlage der Teamidentität machst. In diesem Kurs erfährst du, wie du gegen Stereotypisierung vorgehst und eine Identität für alle Mitarbeitende"&amp;"n erschaffst.")</f>
        <v>Wie kannst du als Führungskraft eine Gruppenidentität etablieren? Indem du ohne Vorurteile führst und das zur Grundlage der Teamidentität machst. In diesem Kurs erfährst du, wie du gegen Stereotypisierung vorgehst und eine Identität für alle Mitarbeitenden erschaffst.</v>
      </c>
      <c r="D375" s="17" t="str">
        <f>IFERROR(__xludf.DUMMYFUNCTION("""COMPUTED_VALUE"""),"How can you establish a group identity as a leader? Through leading without prejudice and making that the foundation of the team's identity. In this course, you'll learn how to combat stereotyping and create an identity shared by all employees.")</f>
        <v>How can you establish a group identity as a leader? Through leading without prejudice and making that the foundation of the team's identity. In this course, you'll learn how to combat stereotyping and create an identity shared by all employees.</v>
      </c>
      <c r="E375" s="26" t="str">
        <f>IFERROR(__xludf.DUMMYFUNCTION("""COMPUTED_VALUE"""),"Collaboration and Leadership")</f>
        <v>Collaboration and Leadership</v>
      </c>
      <c r="F375" s="19" t="str">
        <f>IFERROR(__xludf.DUMMYFUNCTION("""COMPUTED_VALUE"""),"Zeit Akademie - Niels Van Quaquebeke")</f>
        <v>Zeit Akademie - Niels Van Quaquebeke</v>
      </c>
      <c r="G375" s="20">
        <f>IFERROR(__xludf.DUMMYFUNCTION("""COMPUTED_VALUE"""),41.0)</f>
        <v>41</v>
      </c>
      <c r="H375" s="20">
        <f>IFERROR(__xludf.DUMMYFUNCTION("""COMPUTED_VALUE"""),24.0)</f>
        <v>24</v>
      </c>
      <c r="I375" s="21" t="str">
        <f>IFERROR(__xludf.DUMMYFUNCTION("""COMPUTED_VALUE"""),"English, German")</f>
        <v>English, German</v>
      </c>
      <c r="J375" s="21" t="str">
        <f>IFERROR(__xludf.DUMMYFUNCTION("""COMPUTED_VALUE"""),"German")</f>
        <v>German</v>
      </c>
      <c r="K375" s="22">
        <f>IFERROR(__xludf.DUMMYFUNCTION("""COMPUTED_VALUE"""),44704.0)</f>
        <v>44704</v>
      </c>
      <c r="L375" s="23" t="str">
        <f>IFERROR(__xludf.DUMMYFUNCTION("""COMPUTED_VALUE"""),"https://masterplan.com/courses/teams-fuehren-iii-kreiere-eine-gruppenidentitaet")</f>
        <v>https://masterplan.com/courses/teams-fuehren-iii-kreiere-eine-gruppenidentitaet</v>
      </c>
    </row>
    <row r="376">
      <c r="A376" s="6" t="str">
        <f>IFERROR(__xludf.DUMMYFUNCTION("""COMPUTED_VALUE"""),"Teams führen IV: Gelerntes umsetzen")</f>
        <v>Teams führen IV: Gelerntes umsetzen</v>
      </c>
      <c r="B376" s="7" t="str">
        <f>IFERROR(__xludf.DUMMYFUNCTION("""COMPUTED_VALUE"""),"Leading Teams IV: Applying What You've Learned")</f>
        <v>Leading Teams IV: Applying What You've Learned</v>
      </c>
      <c r="C376" s="8" t="str">
        <f>IFERROR(__xludf.DUMMYFUNCTION("""COMPUTED_VALUE"""),"Dieser Kurs baut auf unsere Kursreihe ""Teams führen"" auf. Dabei geht es darum, dass du deine eigenen Vorhaben aktiv umsetzt. In diesem Kurs erwarten Tipps und Übungen, mit denen dir das gelingt - perfekt für jede Führungskraft, die ihren Führungsstil ve"&amp;"rbessern möchte.")</f>
        <v>Dieser Kurs baut auf unsere Kursreihe "Teams führen" auf. Dabei geht es darum, dass du deine eigenen Vorhaben aktiv umsetzt. In diesem Kurs erwarten Tipps und Übungen, mit denen dir das gelingt - perfekt für jede Führungskraft, die ihren Führungsstil verbessern möchte.</v>
      </c>
      <c r="D376" s="8" t="str">
        <f>IFERROR(__xludf.DUMMYFUNCTION("""COMPUTED_VALUE"""),"This course builds on our series “Leading Teams”. It focuses on proactively realizing your projects. In this course, you'll receive tips and exercises which help you succeed – ideal for all leaders that want to improve their leadership skills.")</f>
        <v>This course builds on our series “Leading Teams”. It focuses on proactively realizing your projects. In this course, you'll receive tips and exercises which help you succeed – ideal for all leaders that want to improve their leadership skills.</v>
      </c>
      <c r="E376" s="26" t="str">
        <f>IFERROR(__xludf.DUMMYFUNCTION("""COMPUTED_VALUE"""),"Collaboration and Leadership")</f>
        <v>Collaboration and Leadership</v>
      </c>
      <c r="F376" s="10" t="str">
        <f>IFERROR(__xludf.DUMMYFUNCTION("""COMPUTED_VALUE"""),"Zeit Akademie - Niels Van Quaquebeke")</f>
        <v>Zeit Akademie - Niels Van Quaquebeke</v>
      </c>
      <c r="G376" s="11">
        <f>IFERROR(__xludf.DUMMYFUNCTION("""COMPUTED_VALUE"""),23.0)</f>
        <v>23</v>
      </c>
      <c r="H376" s="11">
        <f>IFERROR(__xludf.DUMMYFUNCTION("""COMPUTED_VALUE"""),11.0)</f>
        <v>11</v>
      </c>
      <c r="I376" s="12" t="str">
        <f>IFERROR(__xludf.DUMMYFUNCTION("""COMPUTED_VALUE"""),"English, German")</f>
        <v>English, German</v>
      </c>
      <c r="J376" s="12" t="str">
        <f>IFERROR(__xludf.DUMMYFUNCTION("""COMPUTED_VALUE"""),"German")</f>
        <v>German</v>
      </c>
      <c r="K376" s="13">
        <f>IFERROR(__xludf.DUMMYFUNCTION("""COMPUTED_VALUE"""),44704.0)</f>
        <v>44704</v>
      </c>
      <c r="L376" s="14" t="str">
        <f>IFERROR(__xludf.DUMMYFUNCTION("""COMPUTED_VALUE"""),"https://masterplan.com/courses/teams-fuehren-iv-gelerntes-umsetzen")</f>
        <v>https://masterplan.com/courses/teams-fuehren-iv-gelerntes-umsetzen</v>
      </c>
    </row>
    <row r="377">
      <c r="A377" s="15" t="str">
        <f>IFERROR(__xludf.DUMMYFUNCTION("""COMPUTED_VALUE"""),"Teams führen II: Entscheidungen als Team treffen")</f>
        <v>Teams führen II: Entscheidungen als Team treffen</v>
      </c>
      <c r="B377" s="16" t="str">
        <f>IFERROR(__xludf.DUMMYFUNCTION("""COMPUTED_VALUE"""),"Leading Teams II: Making Decisions as a Team")</f>
        <v>Leading Teams II: Making Decisions as a Team</v>
      </c>
      <c r="C377" s="17" t="str">
        <f>IFERROR(__xludf.DUMMYFUNCTION("""COMPUTED_VALUE"""),"Seien wir ehrlich: Findest du nicht auch, dass die Entscheidungsfindung in Teams manchmal viel zu lange dauert? Wenn du uns hier zustimmst, dann ist dieser Kurs für dich! Hier erhältst du Einblicke in Teamdynamiken und wie dein Team effektiver Entscheidun"&amp;"gen trifft.")</f>
        <v>Seien wir ehrlich: Findest du nicht auch, dass die Entscheidungsfindung in Teams manchmal viel zu lange dauert? Wenn du uns hier zustimmst, dann ist dieser Kurs für dich! Hier erhältst du Einblicke in Teamdynamiken und wie dein Team effektiver Entscheidungen trifft.</v>
      </c>
      <c r="D377" s="17" t="str">
        <f>IFERROR(__xludf.DUMMYFUNCTION("""COMPUTED_VALUE"""),"Let's be honest: Don't you think decision-making in teams often takes way too long? If you agree, then this course is just what you need! You'll gain insight into team dynamics and how your team can make more effective decisions.")</f>
        <v>Let's be honest: Don't you think decision-making in teams often takes way too long? If you agree, then this course is just what you need! You'll gain insight into team dynamics and how your team can make more effective decisions.</v>
      </c>
      <c r="E377" s="26" t="str">
        <f>IFERROR(__xludf.DUMMYFUNCTION("""COMPUTED_VALUE"""),"Collaboration and Leadership")</f>
        <v>Collaboration and Leadership</v>
      </c>
      <c r="F377" s="19" t="str">
        <f>IFERROR(__xludf.DUMMYFUNCTION("""COMPUTED_VALUE"""),"Zeit Akademie - Niels Van Quaquebeke")</f>
        <v>Zeit Akademie - Niels Van Quaquebeke</v>
      </c>
      <c r="G377" s="20">
        <f>IFERROR(__xludf.DUMMYFUNCTION("""COMPUTED_VALUE"""),51.0)</f>
        <v>51</v>
      </c>
      <c r="H377" s="20">
        <f>IFERROR(__xludf.DUMMYFUNCTION("""COMPUTED_VALUE"""),25.0)</f>
        <v>25</v>
      </c>
      <c r="I377" s="21" t="str">
        <f>IFERROR(__xludf.DUMMYFUNCTION("""COMPUTED_VALUE"""),"English, German")</f>
        <v>English, German</v>
      </c>
      <c r="J377" s="21" t="str">
        <f>IFERROR(__xludf.DUMMYFUNCTION("""COMPUTED_VALUE"""),"German")</f>
        <v>German</v>
      </c>
      <c r="K377" s="22">
        <f>IFERROR(__xludf.DUMMYFUNCTION("""COMPUTED_VALUE"""),44694.0)</f>
        <v>44694</v>
      </c>
      <c r="L377" s="23" t="str">
        <f>IFERROR(__xludf.DUMMYFUNCTION("""COMPUTED_VALUE"""),"https://masterplan.com/courses/teams-fuehren-ii-entscheidungen-als-team-treffen")</f>
        <v>https://masterplan.com/courses/teams-fuehren-ii-entscheidungen-als-team-treffen</v>
      </c>
    </row>
    <row r="378">
      <c r="A378" s="6" t="str">
        <f>IFERROR(__xludf.DUMMYFUNCTION("""COMPUTED_VALUE"""),"Konfliktlösung leicht gemacht: 31 hilfreiche Tipps")</f>
        <v>Konfliktlösung leicht gemacht: 31 hilfreiche Tipps</v>
      </c>
      <c r="B378" s="7" t="str">
        <f>IFERROR(__xludf.DUMMYFUNCTION("""COMPUTED_VALUE"""),"31 Quick Tips for Conflict Resolution")</f>
        <v>31 Quick Tips for Conflict Resolution</v>
      </c>
      <c r="C378" s="8" t="str">
        <f>IFERROR(__xludf.DUMMYFUNCTION("""COMPUTED_VALUE"""),"Beim Versuch, Konflikte zu lösen, kann es schnell hitzig werden: Wie kannst du da die Ruhe bewahren? Dieser Kurs hält 31 simple Tipps &amp; Tricks für dich bereit, die dir nicht nur helfen, Konflikte zu lösen, sondern bereits im Vorfeld einzudämmen.")</f>
        <v>Beim Versuch, Konflikte zu lösen, kann es schnell hitzig werden: Wie kannst du da die Ruhe bewahren? Dieser Kurs hält 31 simple Tipps &amp; Tricks für dich bereit, die dir nicht nur helfen, Konflikte zu lösen, sondern bereits im Vorfeld einzudämmen.</v>
      </c>
      <c r="D378" s="8" t="str">
        <f>IFERROR(__xludf.DUMMYFUNCTION("""COMPUTED_VALUE"""),"Conflict resolution can get heated– how can you make sure to keep your cool? This course outlines 31 simple steps for resolving a conflict at work– before, during, and after confronting it– in a way that delivers results, but also builds trust.")</f>
        <v>Conflict resolution can get heated– how can you make sure to keep your cool? This course outlines 31 simple steps for resolving a conflict at work– before, during, and after confronting it– in a way that delivers results, but also builds trust.</v>
      </c>
      <c r="E378" s="24" t="str">
        <f>IFERROR(__xludf.DUMMYFUNCTION("""COMPUTED_VALUE"""),"Emotional Intelligence")</f>
        <v>Emotional Intelligence</v>
      </c>
      <c r="F378" s="10" t="str">
        <f>IFERROR(__xludf.DUMMYFUNCTION("""COMPUTED_VALUE"""),"Whatcom Dispute Resolution Center")</f>
        <v>Whatcom Dispute Resolution Center</v>
      </c>
      <c r="G378" s="11">
        <f>IFERROR(__xludf.DUMMYFUNCTION("""COMPUTED_VALUE"""),18.0)</f>
        <v>18</v>
      </c>
      <c r="H378" s="11">
        <f>IFERROR(__xludf.DUMMYFUNCTION("""COMPUTED_VALUE"""),11.0)</f>
        <v>11</v>
      </c>
      <c r="I378" s="12" t="str">
        <f>IFERROR(__xludf.DUMMYFUNCTION("""COMPUTED_VALUE"""),"English, German")</f>
        <v>English, German</v>
      </c>
      <c r="J378" s="12" t="str">
        <f>IFERROR(__xludf.DUMMYFUNCTION("""COMPUTED_VALUE"""),"English")</f>
        <v>English</v>
      </c>
      <c r="K378" s="13">
        <f>IFERROR(__xludf.DUMMYFUNCTION("""COMPUTED_VALUE"""),44692.0)</f>
        <v>44692</v>
      </c>
      <c r="L378" s="14" t="str">
        <f>IFERROR(__xludf.DUMMYFUNCTION("""COMPUTED_VALUE"""),"https://masterplan.com/courses/konfliktloesung-leicht-gemacht-31-hilfreiche-tipps")</f>
        <v>https://masterplan.com/courses/konfliktloesung-leicht-gemacht-31-hilfreiche-tipps</v>
      </c>
    </row>
    <row r="379">
      <c r="A379" s="15" t="str">
        <f>IFERROR(__xludf.DUMMYFUNCTION("""COMPUTED_VALUE"""),"SEO-Strategien: Keyword-Recherche")</f>
        <v>SEO-Strategien: Keyword-Recherche</v>
      </c>
      <c r="B379" s="16" t="str">
        <f>IFERROR(__xludf.DUMMYFUNCTION("""COMPUTED_VALUE"""),"SEO Strategies: Keyword Research")</f>
        <v>SEO Strategies: Keyword Research</v>
      </c>
      <c r="C379" s="17" t="str">
        <f>IFERROR(__xludf.DUMMYFUNCTION("""COMPUTED_VALUE"""),"Die Keyword-Recherche ist der wichtigste Aspekt, um SEO zu verstehen. Nach zehn Jahren Optimierung von Keyword-Recherche-Prozessen hat Brafton diesen 8-Schritte-Leitfaden zusammengestellt, der das Ranking von Keywords auf Seite 1 immens verbessert hat. ")</f>
        <v>Die Keyword-Recherche ist der wichtigste Aspekt, um SEO zu verstehen. Nach zehn Jahren Optimierung von Keyword-Recherche-Prozessen hat Brafton diesen 8-Schritte-Leitfaden zusammengestellt, der das Ranking von Keywords auf Seite 1 immens verbessert hat. </v>
      </c>
      <c r="D379" s="17" t="str">
        <f>IFERROR(__xludf.DUMMYFUNCTION("""COMPUTED_VALUE"""),"Keyword research is the single most important aspect of understanding SEO. After ten years of refining their keyword research processes, Brafton has put together this 8-step guide which has improved their page 1 keyword rankings immensely. ")</f>
        <v>Keyword research is the single most important aspect of understanding SEO. After ten years of refining their keyword research processes, Brafton has put together this 8-step guide which has improved their page 1 keyword rankings immensely. </v>
      </c>
      <c r="E379" s="9" t="str">
        <f>IFERROR(__xludf.DUMMYFUNCTION("""COMPUTED_VALUE"""),"Global Citizenship")</f>
        <v>Global Citizenship</v>
      </c>
      <c r="F379" s="19" t="str">
        <f>IFERROR(__xludf.DUMMYFUNCTION("""COMPUTED_VALUE"""),"Brafton")</f>
        <v>Brafton</v>
      </c>
      <c r="G379" s="20">
        <f>IFERROR(__xludf.DUMMYFUNCTION("""COMPUTED_VALUE"""),67.0)</f>
        <v>67</v>
      </c>
      <c r="H379" s="20">
        <f>IFERROR(__xludf.DUMMYFUNCTION("""COMPUTED_VALUE"""),19.0)</f>
        <v>19</v>
      </c>
      <c r="I379" s="21" t="str">
        <f>IFERROR(__xludf.DUMMYFUNCTION("""COMPUTED_VALUE"""),"English, German")</f>
        <v>English, German</v>
      </c>
      <c r="J379" s="21" t="str">
        <f>IFERROR(__xludf.DUMMYFUNCTION("""COMPUTED_VALUE"""),"Text only")</f>
        <v>Text only</v>
      </c>
      <c r="K379" s="22">
        <f>IFERROR(__xludf.DUMMYFUNCTION("""COMPUTED_VALUE"""),44683.0)</f>
        <v>44683</v>
      </c>
      <c r="L379" s="23" t="str">
        <f>IFERROR(__xludf.DUMMYFUNCTION("""COMPUTED_VALUE"""),"https://masterplan.com/courses/seo-strategien-keyword-recherche")</f>
        <v>https://masterplan.com/courses/seo-strategien-keyword-recherche</v>
      </c>
    </row>
    <row r="380">
      <c r="A380" s="6" t="str">
        <f>IFERROR(__xludf.DUMMYFUNCTION("""COMPUTED_VALUE"""),"Mitarbeiterführung V: Wunderwaffe Identitätsmanagement")</f>
        <v>Mitarbeiterführung V: Wunderwaffe Identitätsmanagement</v>
      </c>
      <c r="B380" s="7" t="str">
        <f>IFERROR(__xludf.DUMMYFUNCTION("""COMPUTED_VALUE"""),"Leading Employees V: The Silver Bullet: Identity Management")</f>
        <v>Leading Employees V: The Silver Bullet: Identity Management</v>
      </c>
      <c r="C380" s="8" t="str">
        <f>IFERROR(__xludf.DUMMYFUNCTION("""COMPUTED_VALUE"""),"Von Häusern, Spiegeln und Goethe – dieser Kurs ist ein Gamechanger für dich und deine Mitarbeitenden. Lerne mehr über die Vorteile verschiedener Identitäten, von Visionen und motivierender Rhetorik und bring dein Unternehmen auf das nächste Level. ")</f>
        <v>Von Häusern, Spiegeln und Goethe – dieser Kurs ist ein Gamechanger für dich und deine Mitarbeitenden. Lerne mehr über die Vorteile verschiedener Identitäten, von Visionen und motivierender Rhetorik und bring dein Unternehmen auf das nächste Level. </v>
      </c>
      <c r="D380" s="8" t="str">
        <f>IFERROR(__xludf.DUMMYFUNCTION("""COMPUTED_VALUE"""),"What do houses, mirrors and German poet Goethe have to do with leadership? This course will be a game changer for you and your employees. Learn about the benefits of different identities, visions and motivational rhetoric and take your company to the next"&amp;" level.")</f>
        <v>What do houses, mirrors and German poet Goethe have to do with leadership? This course will be a game changer for you and your employees. Learn about the benefits of different identities, visions and motivational rhetoric and take your company to the next level.</v>
      </c>
      <c r="E380" s="26" t="str">
        <f>IFERROR(__xludf.DUMMYFUNCTION("""COMPUTED_VALUE"""),"Collaboration and Leadership")</f>
        <v>Collaboration and Leadership</v>
      </c>
      <c r="F380" s="10" t="str">
        <f>IFERROR(__xludf.DUMMYFUNCTION("""COMPUTED_VALUE"""),"Zeit Akademie - Niels Van Quaquebeke")</f>
        <v>Zeit Akademie - Niels Van Quaquebeke</v>
      </c>
      <c r="G380" s="11">
        <f>IFERROR(__xludf.DUMMYFUNCTION("""COMPUTED_VALUE"""),30.0)</f>
        <v>30</v>
      </c>
      <c r="H380" s="11">
        <f>IFERROR(__xludf.DUMMYFUNCTION("""COMPUTED_VALUE"""),17.0)</f>
        <v>17</v>
      </c>
      <c r="I380" s="12" t="str">
        <f>IFERROR(__xludf.DUMMYFUNCTION("""COMPUTED_VALUE"""),"English, German")</f>
        <v>English, German</v>
      </c>
      <c r="J380" s="12" t="str">
        <f>IFERROR(__xludf.DUMMYFUNCTION("""COMPUTED_VALUE"""),"German")</f>
        <v>German</v>
      </c>
      <c r="K380" s="13">
        <f>IFERROR(__xludf.DUMMYFUNCTION("""COMPUTED_VALUE"""),44682.0)</f>
        <v>44682</v>
      </c>
      <c r="L380" s="14" t="str">
        <f>IFERROR(__xludf.DUMMYFUNCTION("""COMPUTED_VALUE"""),"https://masterplan.com/courses/mitarbeiterfuhrung-v-wunderwaffe-identitaetsmanagement")</f>
        <v>https://masterplan.com/courses/mitarbeiterfuhrung-v-wunderwaffe-identitaetsmanagement</v>
      </c>
    </row>
    <row r="381">
      <c r="A381" s="15" t="str">
        <f>IFERROR(__xludf.DUMMYFUNCTION("""COMPUTED_VALUE"""),"11 Techniken, um Stress abzubauen")</f>
        <v>11 Techniken, um Stress abzubauen</v>
      </c>
      <c r="B381" s="16" t="str">
        <f>IFERROR(__xludf.DUMMYFUNCTION("""COMPUTED_VALUE"""),"n.a.")</f>
        <v>n.a.</v>
      </c>
      <c r="C381" s="17" t="str">
        <f>IFERROR(__xludf.DUMMYFUNCTION("""COMPUTED_VALUE"""),"Gibt es überhaupt stressige Situationen oder ist es unsere eigene Wahrnehmung, mit der wir Situationen als stressig bewerten? Lerne, wie du genau das verhinderst, deine Gedanken bewusst wahrnimmst und ins Positive wandelst. Ein Podcast für mehr Balance im"&amp;" Alltag. ")</f>
        <v>Gibt es überhaupt stressige Situationen oder ist es unsere eigene Wahrnehmung, mit der wir Situationen als stressig bewerten? Lerne, wie du genau das verhinderst, deine Gedanken bewusst wahrnimmst und ins Positive wandelst. Ein Podcast für mehr Balance im Alltag. </v>
      </c>
      <c r="D381" s="17" t="str">
        <f>IFERROR(__xludf.DUMMYFUNCTION("""COMPUTED_VALUE"""),"n.a.")</f>
        <v>n.a.</v>
      </c>
      <c r="E381" s="24" t="str">
        <f>IFERROR(__xludf.DUMMYFUNCTION("""COMPUTED_VALUE"""),"Emotional Intelligence")</f>
        <v>Emotional Intelligence</v>
      </c>
      <c r="F381" s="19" t="str">
        <f>IFERROR(__xludf.DUMMYFUNCTION("""COMPUTED_VALUE"""),"Ergotopia")</f>
        <v>Ergotopia</v>
      </c>
      <c r="G381" s="20">
        <f>IFERROR(__xludf.DUMMYFUNCTION("""COMPUTED_VALUE"""),36.0)</f>
        <v>36</v>
      </c>
      <c r="H381" s="20">
        <f>IFERROR(__xludf.DUMMYFUNCTION("""COMPUTED_VALUE"""),1.0)</f>
        <v>1</v>
      </c>
      <c r="I381" s="21" t="str">
        <f>IFERROR(__xludf.DUMMYFUNCTION("""COMPUTED_VALUE"""),"German")</f>
        <v>German</v>
      </c>
      <c r="J381" s="21" t="str">
        <f>IFERROR(__xludf.DUMMYFUNCTION("""COMPUTED_VALUE"""),"German")</f>
        <v>German</v>
      </c>
      <c r="K381" s="22">
        <f>IFERROR(__xludf.DUMMYFUNCTION("""COMPUTED_VALUE"""),44678.0)</f>
        <v>44678</v>
      </c>
      <c r="L381" s="23" t="str">
        <f>IFERROR(__xludf.DUMMYFUNCTION("""COMPUTED_VALUE"""),"https://masterplan.com/courses/11-techniken-um-stress-abzubauen")</f>
        <v>https://masterplan.com/courses/11-techniken-um-stress-abzubauen</v>
      </c>
    </row>
    <row r="382">
      <c r="A382" s="6" t="str">
        <f>IFERROR(__xludf.DUMMYFUNCTION("""COMPUTED_VALUE"""),"Fit am Arbeitsplatz: So beugst du Verspannungen vor")</f>
        <v>Fit am Arbeitsplatz: So beugst du Verspannungen vor</v>
      </c>
      <c r="B382" s="7" t="str">
        <f>IFERROR(__xludf.DUMMYFUNCTION("""COMPUTED_VALUE"""),"n.a.")</f>
        <v>n.a.</v>
      </c>
      <c r="C382" s="8" t="str">
        <f>IFERROR(__xludf.DUMMYFUNCTION("""COMPUTED_VALUE"""),"Nach einer langen Arbeitswoche im Büro ganz ohne Verspannungen in den Feierabend starten? Das geht! Ein kleiner Hinweis vorweg: Ständig gerade Sitzen führt ebenfalls zu Rückenschmerzen. Im Kurs erfährst du, wie du es richtig machst.")</f>
        <v>Nach einer langen Arbeitswoche im Büro ganz ohne Verspannungen in den Feierabend starten? Das geht! Ein kleiner Hinweis vorweg: Ständig gerade Sitzen führt ebenfalls zu Rückenschmerzen. Im Kurs erfährst du, wie du es richtig machst.</v>
      </c>
      <c r="D382" s="8" t="str">
        <f>IFERROR(__xludf.DUMMYFUNCTION("""COMPUTED_VALUE"""),"n.a.")</f>
        <v>n.a.</v>
      </c>
      <c r="E382" s="24" t="str">
        <f>IFERROR(__xludf.DUMMYFUNCTION("""COMPUTED_VALUE"""),"Emotional Intelligence")</f>
        <v>Emotional Intelligence</v>
      </c>
      <c r="F382" s="10" t="str">
        <f>IFERROR(__xludf.DUMMYFUNCTION("""COMPUTED_VALUE"""),"Ergotopia")</f>
        <v>Ergotopia</v>
      </c>
      <c r="G382" s="11">
        <f>IFERROR(__xludf.DUMMYFUNCTION("""COMPUTED_VALUE"""),26.0)</f>
        <v>26</v>
      </c>
      <c r="H382" s="11">
        <f>IFERROR(__xludf.DUMMYFUNCTION("""COMPUTED_VALUE"""),13.0)</f>
        <v>13</v>
      </c>
      <c r="I382" s="12" t="str">
        <f>IFERROR(__xludf.DUMMYFUNCTION("""COMPUTED_VALUE"""),"German")</f>
        <v>German</v>
      </c>
      <c r="J382" s="12" t="str">
        <f>IFERROR(__xludf.DUMMYFUNCTION("""COMPUTED_VALUE"""),"German")</f>
        <v>German</v>
      </c>
      <c r="K382" s="13">
        <f>IFERROR(__xludf.DUMMYFUNCTION("""COMPUTED_VALUE"""),44676.0)</f>
        <v>44676</v>
      </c>
      <c r="L382" s="14" t="str">
        <f>IFERROR(__xludf.DUMMYFUNCTION("""COMPUTED_VALUE"""),"https://masterplan.com/courses/fit-am-arbeitsplatz-so-beugst-du-verspannungen-vor")</f>
        <v>https://masterplan.com/courses/fit-am-arbeitsplatz-so-beugst-du-verspannungen-vor</v>
      </c>
    </row>
    <row r="383">
      <c r="A383" s="15" t="str">
        <f>IFERROR(__xludf.DUMMYFUNCTION("""COMPUTED_VALUE"""),"Einatmen, Ausatmen - 3 einfache Entspannungsübungen")</f>
        <v>Einatmen, Ausatmen - 3 einfache Entspannungsübungen</v>
      </c>
      <c r="B383" s="16" t="str">
        <f>IFERROR(__xludf.DUMMYFUNCTION("""COMPUTED_VALUE"""),"n.a.")</f>
        <v>n.a.</v>
      </c>
      <c r="C383" s="17" t="str">
        <f>IFERROR(__xludf.DUMMYFUNCTION("""COMPUTED_VALUE"""),"Atme den Stress weg! Das Atmen übernimmt unser Körper ganz automatisch für uns. In Stresssituationen flacht unsere Atmung jedoch ab und wird kürzer. Gib deinem Körper etwas zurück, indem du mit der richtigen und bewussten Atmung deinen Stress minimierst. ")</f>
        <v>Atme den Stress weg! Das Atmen übernimmt unser Körper ganz automatisch für uns. In Stresssituationen flacht unsere Atmung jedoch ab und wird kürzer. Gib deinem Körper etwas zurück, indem du mit der richtigen und bewussten Atmung deinen Stress minimierst. </v>
      </c>
      <c r="D383" s="17" t="str">
        <f>IFERROR(__xludf.DUMMYFUNCTION("""COMPUTED_VALUE"""),"n.a.")</f>
        <v>n.a.</v>
      </c>
      <c r="E383" s="24" t="str">
        <f>IFERROR(__xludf.DUMMYFUNCTION("""COMPUTED_VALUE"""),"Emotional Intelligence")</f>
        <v>Emotional Intelligence</v>
      </c>
      <c r="F383" s="19" t="str">
        <f>IFERROR(__xludf.DUMMYFUNCTION("""COMPUTED_VALUE"""),"Ergotopia")</f>
        <v>Ergotopia</v>
      </c>
      <c r="G383" s="20">
        <f>IFERROR(__xludf.DUMMYFUNCTION("""COMPUTED_VALUE"""),17.0)</f>
        <v>17</v>
      </c>
      <c r="H383" s="20">
        <f>IFERROR(__xludf.DUMMYFUNCTION("""COMPUTED_VALUE"""),10.0)</f>
        <v>10</v>
      </c>
      <c r="I383" s="21" t="str">
        <f>IFERROR(__xludf.DUMMYFUNCTION("""COMPUTED_VALUE"""),"German")</f>
        <v>German</v>
      </c>
      <c r="J383" s="21" t="str">
        <f>IFERROR(__xludf.DUMMYFUNCTION("""COMPUTED_VALUE"""),"German")</f>
        <v>German</v>
      </c>
      <c r="K383" s="22">
        <f>IFERROR(__xludf.DUMMYFUNCTION("""COMPUTED_VALUE"""),44676.0)</f>
        <v>44676</v>
      </c>
      <c r="L383" s="23" t="str">
        <f>IFERROR(__xludf.DUMMYFUNCTION("""COMPUTED_VALUE"""),"https://masterplan.com/courses/einatmen-ausatmen-3-einfache-entspannungsuebungen")</f>
        <v>https://masterplan.com/courses/einatmen-ausatmen-3-einfache-entspannungsuebungen</v>
      </c>
    </row>
    <row r="384">
      <c r="A384" s="6" t="str">
        <f>IFERROR(__xludf.DUMMYFUNCTION("""COMPUTED_VALUE"""),"Schwere Gespräche, einfache Lösung: Die C.A.U.S.E-Methode")</f>
        <v>Schwere Gespräche, einfache Lösung: Die C.A.U.S.E-Methode</v>
      </c>
      <c r="B384" s="7" t="str">
        <f>IFERROR(__xludf.DUMMYFUNCTION("""COMPUTED_VALUE"""),"How to C.A.U.S.E. Challenging Conversations")</f>
        <v>How to C.A.U.S.E. Challenging Conversations</v>
      </c>
      <c r="C384" s="8" t="str">
        <f>IFERROR(__xludf.DUMMYFUNCTION("""COMPUTED_VALUE"""),"Konstruktive und produktive Konflikte fördern Verbesserung und Wachstum. Warum versuchen wir also Konflikte zu vermeiden? Mit der C.A.U.S.E.-Methode bleibst du in schwierigen Gesprächen objektiv und kannst Situationen angemessen ansprechen, verstehen und "&amp;"verbessern.  ")</f>
        <v>Konstruktive und produktive Konflikte fördern Verbesserung und Wachstum. Warum versuchen wir also Konflikte zu vermeiden? Mit der C.A.U.S.E.-Methode bleibst du in schwierigen Gesprächen objektiv und kannst Situationen angemessen ansprechen, verstehen und verbessern.  </v>
      </c>
      <c r="D384" s="8" t="str">
        <f>IFERROR(__xludf.DUMMYFUNCTION("""COMPUTED_VALUE"""),"Constructive and productive conflict is necessary for improvement and growth, so why do we try to avoid it? The C.A.U.S.E. Method helps you stay objective during tough conversations so you can fairly address, understand, and improve any situation that ari"&amp;"ses.")</f>
        <v>Constructive and productive conflict is necessary for improvement and growth, so why do we try to avoid it? The C.A.U.S.E. Method helps you stay objective during tough conversations so you can fairly address, understand, and improve any situation that arises.</v>
      </c>
      <c r="E384" s="26" t="str">
        <f>IFERROR(__xludf.DUMMYFUNCTION("""COMPUTED_VALUE"""),"Collaboration and Leadership")</f>
        <v>Collaboration and Leadership</v>
      </c>
      <c r="F384" s="10" t="str">
        <f>IFERROR(__xludf.DUMMYFUNCTION("""COMPUTED_VALUE"""),"Perfecting Conversations - Robert McPhun")</f>
        <v>Perfecting Conversations - Robert McPhun</v>
      </c>
      <c r="G384" s="11">
        <f>IFERROR(__xludf.DUMMYFUNCTION("""COMPUTED_VALUE"""),35.0)</f>
        <v>35</v>
      </c>
      <c r="H384" s="11">
        <f>IFERROR(__xludf.DUMMYFUNCTION("""COMPUTED_VALUE"""),13.0)</f>
        <v>13</v>
      </c>
      <c r="I384" s="12" t="str">
        <f>IFERROR(__xludf.DUMMYFUNCTION("""COMPUTED_VALUE"""),"English, German")</f>
        <v>English, German</v>
      </c>
      <c r="J384" s="12" t="str">
        <f>IFERROR(__xludf.DUMMYFUNCTION("""COMPUTED_VALUE"""),"English")</f>
        <v>English</v>
      </c>
      <c r="K384" s="13">
        <f>IFERROR(__xludf.DUMMYFUNCTION("""COMPUTED_VALUE"""),44673.0)</f>
        <v>44673</v>
      </c>
      <c r="L384" s="14" t="str">
        <f>IFERROR(__xludf.DUMMYFUNCTION("""COMPUTED_VALUE"""),"https://masterplan.com/courses/schwere-gespraeche-einfache-loesung-die-cause-methode")</f>
        <v>https://masterplan.com/courses/schwere-gespraeche-einfache-loesung-die-cause-methode</v>
      </c>
    </row>
    <row r="385">
      <c r="A385" s="15" t="str">
        <f>IFERROR(__xludf.DUMMYFUNCTION("""COMPUTED_VALUE"""),"Dein Rücken sagt Danke: So arbeitest du gesund")</f>
        <v>Dein Rücken sagt Danke: So arbeitest du gesund</v>
      </c>
      <c r="B385" s="16" t="str">
        <f>IFERROR(__xludf.DUMMYFUNCTION("""COMPUTED_VALUE"""),"n.a.")</f>
        <v>n.a.</v>
      </c>
      <c r="C385" s="17" t="str">
        <f>IFERROR(__xludf.DUMMYFUNCTION("""COMPUTED_VALUE"""),"Rückenschmerzen sind die Volkskrankheit Nummer eins! Woher kommt das und was kannst du tun, um dich und deinen Rücken im Alltag zu entlasten? Lerne, wie du richtig sitzt, richtig stehst und erhalte Tipps &amp; Tricks rund ums gesunde Arbeiten im Büro und im H"&amp;"omeoffice. ")</f>
        <v>Rückenschmerzen sind die Volkskrankheit Nummer eins! Woher kommt das und was kannst du tun, um dich und deinen Rücken im Alltag zu entlasten? Lerne, wie du richtig sitzt, richtig stehst und erhalte Tipps &amp; Tricks rund ums gesunde Arbeiten im Büro und im Homeoffice. </v>
      </c>
      <c r="D385" s="17" t="str">
        <f>IFERROR(__xludf.DUMMYFUNCTION("""COMPUTED_VALUE"""),"n.a.")</f>
        <v>n.a.</v>
      </c>
      <c r="E385" s="9" t="str">
        <f>IFERROR(__xludf.DUMMYFUNCTION("""COMPUTED_VALUE"""),"Global Citizenship")</f>
        <v>Global Citizenship</v>
      </c>
      <c r="F385" s="19" t="str">
        <f>IFERROR(__xludf.DUMMYFUNCTION("""COMPUTED_VALUE"""),"Ergotopia")</f>
        <v>Ergotopia</v>
      </c>
      <c r="G385" s="20">
        <f>IFERROR(__xludf.DUMMYFUNCTION("""COMPUTED_VALUE"""),35.0)</f>
        <v>35</v>
      </c>
      <c r="H385" s="20">
        <f>IFERROR(__xludf.DUMMYFUNCTION("""COMPUTED_VALUE"""),13.0)</f>
        <v>13</v>
      </c>
      <c r="I385" s="21" t="str">
        <f>IFERROR(__xludf.DUMMYFUNCTION("""COMPUTED_VALUE"""),"German")</f>
        <v>German</v>
      </c>
      <c r="J385" s="21" t="str">
        <f>IFERROR(__xludf.DUMMYFUNCTION("""COMPUTED_VALUE"""),"German")</f>
        <v>German</v>
      </c>
      <c r="K385" s="22">
        <f>IFERROR(__xludf.DUMMYFUNCTION("""COMPUTED_VALUE"""),44673.0)</f>
        <v>44673</v>
      </c>
      <c r="L385" s="23" t="str">
        <f>IFERROR(__xludf.DUMMYFUNCTION("""COMPUTED_VALUE"""),"https://masterplan.com/courses/dein-ruecken-sagt-danke-so-arbeitest-du-gesund")</f>
        <v>https://masterplan.com/courses/dein-ruecken-sagt-danke-so-arbeitest-du-gesund</v>
      </c>
    </row>
    <row r="386">
      <c r="A386" s="6" t="str">
        <f>IFERROR(__xludf.DUMMYFUNCTION("""COMPUTED_VALUE"""),"Nachhaltigkeit im Unternehmen I: Die Notwendigkeit zu Handeln")</f>
        <v>Nachhaltigkeit im Unternehmen I: Die Notwendigkeit zu Handeln</v>
      </c>
      <c r="B386" s="7" t="str">
        <f>IFERROR(__xludf.DUMMYFUNCTION("""COMPUTED_VALUE"""),"Sustainability in Companies I: The Need to Act")</f>
        <v>Sustainability in Companies I: The Need to Act</v>
      </c>
      <c r="C386" s="8" t="str">
        <f>IFERROR(__xludf.DUMMYFUNCTION("""COMPUTED_VALUE"""),"Unternehmen und Nachhaltigkeit - sind das wirklich zwei Gegensätze? Wie werden Unternehmen nachhaltiger? Mit dieser Frage wird sich unsere Kursreihe ""Nachhaltigkeit im Unternehmen"" beschäftigen. In diesem Kurs erfährst du, warum gerade die Unternehmen h"&amp;"andeln müssen!")</f>
        <v>Unternehmen und Nachhaltigkeit - sind das wirklich zwei Gegensätze? Wie werden Unternehmen nachhaltiger? Mit dieser Frage wird sich unsere Kursreihe "Nachhaltigkeit im Unternehmen" beschäftigen. In diesem Kurs erfährst du, warum gerade die Unternehmen handeln müssen!</v>
      </c>
      <c r="D386" s="8" t="str">
        <f>IFERROR(__xludf.DUMMYFUNCTION("""COMPUTED_VALUE"""),"Corporations and sustainability– do they really contradict each other? How can companies become more sustainable? This is the question our course series ""Sustainability in Companies"" will deal with. In this course, you will learn why companies in partic"&amp;"ular need to act!")</f>
        <v>Corporations and sustainability– do they really contradict each other? How can companies become more sustainable? This is the question our course series "Sustainability in Companies" will deal with. In this course, you will learn why companies in particular need to act!</v>
      </c>
      <c r="E386" s="9" t="str">
        <f>IFERROR(__xludf.DUMMYFUNCTION("""COMPUTED_VALUE"""),"Global Citizenship")</f>
        <v>Global Citizenship</v>
      </c>
      <c r="F386" s="10" t="str">
        <f>IFERROR(__xludf.DUMMYFUNCTION("""COMPUTED_VALUE"""),"Zeit Akademie - Stefan Schaltegger, Maja Göpel und Stefan Rahmstorf")</f>
        <v>Zeit Akademie - Stefan Schaltegger, Maja Göpel und Stefan Rahmstorf</v>
      </c>
      <c r="G386" s="11">
        <f>IFERROR(__xludf.DUMMYFUNCTION("""COMPUTED_VALUE"""),16.0)</f>
        <v>16</v>
      </c>
      <c r="H386" s="11">
        <f>IFERROR(__xludf.DUMMYFUNCTION("""COMPUTED_VALUE"""),8.0)</f>
        <v>8</v>
      </c>
      <c r="I386" s="12" t="str">
        <f>IFERROR(__xludf.DUMMYFUNCTION("""COMPUTED_VALUE"""),"English, German")</f>
        <v>English, German</v>
      </c>
      <c r="J386" s="12" t="str">
        <f>IFERROR(__xludf.DUMMYFUNCTION("""COMPUTED_VALUE"""),"German")</f>
        <v>German</v>
      </c>
      <c r="K386" s="13">
        <f>IFERROR(__xludf.DUMMYFUNCTION("""COMPUTED_VALUE"""),44652.0)</f>
        <v>44652</v>
      </c>
      <c r="L386" s="14" t="str">
        <f>IFERROR(__xludf.DUMMYFUNCTION("""COMPUTED_VALUE"""),"https://masterplan.com/courses/nachhaltigkeit-im-unternehmen-i-die-notwendigkeit-zu-handeln")</f>
        <v>https://masterplan.com/courses/nachhaltigkeit-im-unternehmen-i-die-notwendigkeit-zu-handeln</v>
      </c>
    </row>
    <row r="387">
      <c r="A387" s="15" t="str">
        <f>IFERROR(__xludf.DUMMYFUNCTION("""COMPUTED_VALUE"""),"Nachhaltigkeit im Unternehmen II: Nachhaltigkeitsmanagement")</f>
        <v>Nachhaltigkeit im Unternehmen II: Nachhaltigkeitsmanagement</v>
      </c>
      <c r="B387" s="16" t="str">
        <f>IFERROR(__xludf.DUMMYFUNCTION("""COMPUTED_VALUE"""),"Sustainability in Companies II: Sustainability Management")</f>
        <v>Sustainability in Companies II: Sustainability Management</v>
      </c>
      <c r="C387" s="17" t="str">
        <f>IFERROR(__xludf.DUMMYFUNCTION("""COMPUTED_VALUE"""),"Unternehmen können zu der Lösung von Nachhaltigkeitsfragen beitragen. Die Voraussetzung dafür ist ein geeignetes Nachhaltigkeitsmanagement. Doch wie setzt man dies im eigenen Unternehmen um? Die Antwort auf diese Frage erhältst du in diesem Kurs!")</f>
        <v>Unternehmen können zu der Lösung von Nachhaltigkeitsfragen beitragen. Die Voraussetzung dafür ist ein geeignetes Nachhaltigkeitsmanagement. Doch wie setzt man dies im eigenen Unternehmen um? Die Antwort auf diese Frage erhältst du in diesem Kurs!</v>
      </c>
      <c r="D387" s="17" t="str">
        <f>IFERROR(__xludf.DUMMYFUNCTION("""COMPUTED_VALUE"""),"Companies can contribute to solving sustainability issues. This, however, requires having an appropriate sustainability management system in place. But how do you go about implementing this in your own company? Find out in this course!")</f>
        <v>Companies can contribute to solving sustainability issues. This, however, requires having an appropriate sustainability management system in place. But how do you go about implementing this in your own company? Find out in this course!</v>
      </c>
      <c r="E387" s="9" t="str">
        <f>IFERROR(__xludf.DUMMYFUNCTION("""COMPUTED_VALUE"""),"Global Citizenship")</f>
        <v>Global Citizenship</v>
      </c>
      <c r="F387" s="19" t="str">
        <f>IFERROR(__xludf.DUMMYFUNCTION("""COMPUTED_VALUE"""),"Zeit Akademie - Stefan Schaltegger")</f>
        <v>Zeit Akademie - Stefan Schaltegger</v>
      </c>
      <c r="G387" s="20">
        <f>IFERROR(__xludf.DUMMYFUNCTION("""COMPUTED_VALUE"""),25.0)</f>
        <v>25</v>
      </c>
      <c r="H387" s="20">
        <f>IFERROR(__xludf.DUMMYFUNCTION("""COMPUTED_VALUE"""),14.0)</f>
        <v>14</v>
      </c>
      <c r="I387" s="21" t="str">
        <f>IFERROR(__xludf.DUMMYFUNCTION("""COMPUTED_VALUE"""),"English, German")</f>
        <v>English, German</v>
      </c>
      <c r="J387" s="21" t="str">
        <f>IFERROR(__xludf.DUMMYFUNCTION("""COMPUTED_VALUE"""),"German")</f>
        <v>German</v>
      </c>
      <c r="K387" s="22">
        <f>IFERROR(__xludf.DUMMYFUNCTION("""COMPUTED_VALUE"""),44652.0)</f>
        <v>44652</v>
      </c>
      <c r="L387" s="23" t="str">
        <f>IFERROR(__xludf.DUMMYFUNCTION("""COMPUTED_VALUE"""),"https://masterplan.com/courses/nachhaltigkeit-im-unternehmen-ii-nachhaltigkeitsmanagement")</f>
        <v>https://masterplan.com/courses/nachhaltigkeit-im-unternehmen-ii-nachhaltigkeitsmanagement</v>
      </c>
    </row>
    <row r="388">
      <c r="A388" s="6" t="str">
        <f>IFERROR(__xludf.DUMMYFUNCTION("""COMPUTED_VALUE"""),"Nachhaltigkeit im Unternehmen III: Stakeholder-Management")</f>
        <v>Nachhaltigkeit im Unternehmen III: Stakeholder-Management</v>
      </c>
      <c r="B388" s="7" t="str">
        <f>IFERROR(__xludf.DUMMYFUNCTION("""COMPUTED_VALUE"""),"Sustainability in Companies III: Stakeholder Management")</f>
        <v>Sustainability in Companies III: Stakeholder Management</v>
      </c>
      <c r="C388" s="8" t="str">
        <f>IFERROR(__xludf.DUMMYFUNCTION("""COMPUTED_VALUE"""),"Warum sind Stakeholder für ein Unternehmen wichtig? Für das Nachhaltigkeitsmanagement müssen Unternehmen mit Stakeholdern zusammenarbeiten. Klingt kompliziert? Mit dem richtigen Vorwissen ist Stakeholder-Management ganz einfach. Dieser Kurs zeigt dir, wie"&amp;"'s geht!")</f>
        <v>Warum sind Stakeholder für ein Unternehmen wichtig? Für das Nachhaltigkeitsmanagement müssen Unternehmen mit Stakeholdern zusammenarbeiten. Klingt kompliziert? Mit dem richtigen Vorwissen ist Stakeholder-Management ganz einfach. Dieser Kurs zeigt dir, wie's geht!</v>
      </c>
      <c r="D388" s="8" t="str">
        <f>IFERROR(__xludf.DUMMYFUNCTION("""COMPUTED_VALUE"""),"What makes stakeholders important for a company? Sustainability management requires companies to work with stakeholders. Sound complicated? With the right background knowledge, managing stakeholders is easy – and this course shows you how it's done!")</f>
        <v>What makes stakeholders important for a company? Sustainability management requires companies to work with stakeholders. Sound complicated? With the right background knowledge, managing stakeholders is easy – and this course shows you how it's done!</v>
      </c>
      <c r="E388" s="9" t="str">
        <f>IFERROR(__xludf.DUMMYFUNCTION("""COMPUTED_VALUE"""),"Global Citizenship")</f>
        <v>Global Citizenship</v>
      </c>
      <c r="F388" s="10" t="str">
        <f>IFERROR(__xludf.DUMMYFUNCTION("""COMPUTED_VALUE"""),"Zeit Akademie - Stefan Schaltegger")</f>
        <v>Zeit Akademie - Stefan Schaltegger</v>
      </c>
      <c r="G388" s="11">
        <f>IFERROR(__xludf.DUMMYFUNCTION("""COMPUTED_VALUE"""),23.0)</f>
        <v>23</v>
      </c>
      <c r="H388" s="11">
        <f>IFERROR(__xludf.DUMMYFUNCTION("""COMPUTED_VALUE"""),13.0)</f>
        <v>13</v>
      </c>
      <c r="I388" s="12" t="str">
        <f>IFERROR(__xludf.DUMMYFUNCTION("""COMPUTED_VALUE"""),"English, German")</f>
        <v>English, German</v>
      </c>
      <c r="J388" s="12" t="str">
        <f>IFERROR(__xludf.DUMMYFUNCTION("""COMPUTED_VALUE"""),"German")</f>
        <v>German</v>
      </c>
      <c r="K388" s="13">
        <f>IFERROR(__xludf.DUMMYFUNCTION("""COMPUTED_VALUE"""),44652.0)</f>
        <v>44652</v>
      </c>
      <c r="L388" s="14" t="str">
        <f>IFERROR(__xludf.DUMMYFUNCTION("""COMPUTED_VALUE"""),"https://masterplan.com/courses/nachhaltigkeit-im-unternehmen-iii-stakeholder-management")</f>
        <v>https://masterplan.com/courses/nachhaltigkeit-im-unternehmen-iii-stakeholder-management</v>
      </c>
    </row>
    <row r="389">
      <c r="A389" s="15" t="str">
        <f>IFERROR(__xludf.DUMMYFUNCTION("""COMPUTED_VALUE"""),"Mitarbeiterführung I: Die 3 Bausteine für erfolgreiche Führung")</f>
        <v>Mitarbeiterführung I: Die 3 Bausteine für erfolgreiche Führung</v>
      </c>
      <c r="B389" s="16" t="str">
        <f>IFERROR(__xludf.DUMMYFUNCTION("""COMPUTED_VALUE"""),"Leading Employees I: 3 Essentials For Successful Leadership")</f>
        <v>Leading Employees I: 3 Essentials For Successful Leadership</v>
      </c>
      <c r="C389" s="17" t="str">
        <f>IFERROR(__xludf.DUMMYFUNCTION("""COMPUTED_VALUE"""),"Perspektivübernahme, Haltung und Opferbereitschaft – inwieweit können deine Mitarbeitenden auf dich bauen? So viel soll dir vorab bereits verraten sein: Menschlichkeit ist das Fundament erfolgreicher und starker Führungskräfte. ")</f>
        <v>Perspektivübernahme, Haltung und Opferbereitschaft – inwieweit können deine Mitarbeitenden auf dich bauen? So viel soll dir vorab bereits verraten sein: Menschlichkeit ist das Fundament erfolgreicher und starker Führungskräfte. </v>
      </c>
      <c r="D389" s="17" t="str">
        <f>IFERROR(__xludf.DUMMYFUNCTION("""COMPUTED_VALUE"""),"Changing perspectives, a good attitude, and the willingness to make sacrifices – to what extent can your employees rely on you? We can tell you this much: Humanity is the foundation of successful and strong leadership. ")</f>
        <v>Changing perspectives, a good attitude, and the willingness to make sacrifices – to what extent can your employees rely on you? We can tell you this much: Humanity is the foundation of successful and strong leadership. </v>
      </c>
      <c r="E389" s="26" t="str">
        <f>IFERROR(__xludf.DUMMYFUNCTION("""COMPUTED_VALUE"""),"Collaboration and Leadership")</f>
        <v>Collaboration and Leadership</v>
      </c>
      <c r="F389" s="19" t="str">
        <f>IFERROR(__xludf.DUMMYFUNCTION("""COMPUTED_VALUE"""),"Zeit Akademie - Niels Van Quaquebeke")</f>
        <v>Zeit Akademie - Niels Van Quaquebeke</v>
      </c>
      <c r="G389" s="20">
        <f>IFERROR(__xludf.DUMMYFUNCTION("""COMPUTED_VALUE"""),23.0)</f>
        <v>23</v>
      </c>
      <c r="H389" s="20">
        <f>IFERROR(__xludf.DUMMYFUNCTION("""COMPUTED_VALUE"""),19.0)</f>
        <v>19</v>
      </c>
      <c r="I389" s="21" t="str">
        <f>IFERROR(__xludf.DUMMYFUNCTION("""COMPUTED_VALUE"""),"English, German")</f>
        <v>English, German</v>
      </c>
      <c r="J389" s="21" t="str">
        <f>IFERROR(__xludf.DUMMYFUNCTION("""COMPUTED_VALUE"""),"German")</f>
        <v>German</v>
      </c>
      <c r="K389" s="22">
        <f>IFERROR(__xludf.DUMMYFUNCTION("""COMPUTED_VALUE"""),44652.0)</f>
        <v>44652</v>
      </c>
      <c r="L389" s="23" t="str">
        <f>IFERROR(__xludf.DUMMYFUNCTION("""COMPUTED_VALUE"""),"https://masterplan.com/courses/mitarbeiterfuehrung-i-die-3-bausteine-fuer-erfolgreiche-fuehrung")</f>
        <v>https://masterplan.com/courses/mitarbeiterfuehrung-i-die-3-bausteine-fuer-erfolgreiche-fuehrung</v>
      </c>
    </row>
    <row r="390">
      <c r="A390" s="6" t="str">
        <f>IFERROR(__xludf.DUMMYFUNCTION("""COMPUTED_VALUE"""),"Mitarbeiterführung II: Persönlichkeit und Werte")</f>
        <v>Mitarbeiterführung II: Persönlichkeit und Werte</v>
      </c>
      <c r="B390" s="7" t="str">
        <f>IFERROR(__xludf.DUMMYFUNCTION("""COMPUTED_VALUE"""),"Leading Employees II: Personality and Values
")</f>
        <v>Leading Employees II: Personality and Values
</v>
      </c>
      <c r="C390" s="8" t="str">
        <f>IFERROR(__xludf.DUMMYFUNCTION("""COMPUTED_VALUE"""),"Aus welchen Persönlichkeiten setzt sich ein starkes Team zusammen? Was haben Introvertierte Extrovertierten voraus und warum ist Friede, Freude, Eierkuchen alles andere als erfolgversprechend? Fragen über Fragen, denen wir mit dir gemeinsam auf den Grund "&amp;"gehen! ")</f>
        <v>Aus welchen Persönlichkeiten setzt sich ein starkes Team zusammen? Was haben Introvertierte Extrovertierten voraus und warum ist Friede, Freude, Eierkuchen alles andere als erfolgversprechend? Fragen über Fragen, denen wir mit dir gemeinsam auf den Grund gehen! </v>
      </c>
      <c r="D390" s="8" t="str">
        <f>IFERROR(__xludf.DUMMYFUNCTION("""COMPUTED_VALUE"""),"What personalities build a strong team? What do introverts have over extroverts, and why do peace, joy, and happiness have little to do with success? These are the questions we'll tackle together! ")</f>
        <v>What personalities build a strong team? What do introverts have over extroverts, and why do peace, joy, and happiness have little to do with success? These are the questions we'll tackle together! </v>
      </c>
      <c r="E390" s="26" t="str">
        <f>IFERROR(__xludf.DUMMYFUNCTION("""COMPUTED_VALUE"""),"Collaboration and Leadership")</f>
        <v>Collaboration and Leadership</v>
      </c>
      <c r="F390" s="10" t="str">
        <f>IFERROR(__xludf.DUMMYFUNCTION("""COMPUTED_VALUE"""),"Zeit Akademie - Niels Van Quaquebeke")</f>
        <v>Zeit Akademie - Niels Van Quaquebeke</v>
      </c>
      <c r="G390" s="11">
        <f>IFERROR(__xludf.DUMMYFUNCTION("""COMPUTED_VALUE"""),49.0)</f>
        <v>49</v>
      </c>
      <c r="H390" s="11">
        <f>IFERROR(__xludf.DUMMYFUNCTION("""COMPUTED_VALUE"""),22.0)</f>
        <v>22</v>
      </c>
      <c r="I390" s="12" t="str">
        <f>IFERROR(__xludf.DUMMYFUNCTION("""COMPUTED_VALUE"""),"English, German")</f>
        <v>English, German</v>
      </c>
      <c r="J390" s="12" t="str">
        <f>IFERROR(__xludf.DUMMYFUNCTION("""COMPUTED_VALUE"""),"German")</f>
        <v>German</v>
      </c>
      <c r="K390" s="13">
        <f>IFERROR(__xludf.DUMMYFUNCTION("""COMPUTED_VALUE"""),44652.0)</f>
        <v>44652</v>
      </c>
      <c r="L390" s="14" t="str">
        <f>IFERROR(__xludf.DUMMYFUNCTION("""COMPUTED_VALUE"""),"https://masterplan.com/courses/mitarbeiterfuehrung-ii-persoenlichkeit-und-werte")</f>
        <v>https://masterplan.com/courses/mitarbeiterfuehrung-ii-persoenlichkeit-und-werte</v>
      </c>
    </row>
    <row r="391">
      <c r="A391" s="15" t="str">
        <f>IFERROR(__xludf.DUMMYFUNCTION("""COMPUTED_VALUE"""),"Mitarbeiterführung III: Lernen fördern durch starkes Feedback")</f>
        <v>Mitarbeiterführung III: Lernen fördern durch starkes Feedback</v>
      </c>
      <c r="B391" s="16" t="str">
        <f>IFERROR(__xludf.DUMMYFUNCTION("""COMPUTED_VALUE"""),"Leading Employees III: How Feedback Encourages Learning")</f>
        <v>Leading Employees III: How Feedback Encourages Learning</v>
      </c>
      <c r="C391" s="17" t="str">
        <f>IFERROR(__xludf.DUMMYFUNCTION("""COMPUTED_VALUE"""),"Wie oft lobst du deine Mitarbeitenden, wie häufig kritisierst du? Lob ist nicht nur eine Form der Anerkennung, sondern bewirkt wahre Wunder. Negative Rückmeldung bewirkt hingegen das genaue Gegenteil. Wie gibst du als Führungskraft starkes Feedback?")</f>
        <v>Wie oft lobst du deine Mitarbeitenden, wie häufig kritisierst du? Lob ist nicht nur eine Form der Anerkennung, sondern bewirkt wahre Wunder. Negative Rückmeldung bewirkt hingegen das genaue Gegenteil. Wie gibst du als Führungskraft starkes Feedback?</v>
      </c>
      <c r="D391" s="17" t="str">
        <f>IFERROR(__xludf.DUMMYFUNCTION("""COMPUTED_VALUE"""),"Are you a praiser or a criticizer at work? Praise makes people feel valued and can work wonders for motivation - whereas negative feedback can be disheartening. How can leaders make sure to give feedback the right way?")</f>
        <v>Are you a praiser or a criticizer at work? Praise makes people feel valued and can work wonders for motivation - whereas negative feedback can be disheartening. How can leaders make sure to give feedback the right way?</v>
      </c>
      <c r="E391" s="26" t="str">
        <f>IFERROR(__xludf.DUMMYFUNCTION("""COMPUTED_VALUE"""),"Collaboration and Leadership")</f>
        <v>Collaboration and Leadership</v>
      </c>
      <c r="F391" s="19" t="str">
        <f>IFERROR(__xludf.DUMMYFUNCTION("""COMPUTED_VALUE"""),"Zeit Akademie - Niels Van Quaquebeke")</f>
        <v>Zeit Akademie - Niels Van Quaquebeke</v>
      </c>
      <c r="G391" s="20">
        <f>IFERROR(__xludf.DUMMYFUNCTION("""COMPUTED_VALUE"""),32.0)</f>
        <v>32</v>
      </c>
      <c r="H391" s="20">
        <f>IFERROR(__xludf.DUMMYFUNCTION("""COMPUTED_VALUE"""),18.0)</f>
        <v>18</v>
      </c>
      <c r="I391" s="21" t="str">
        <f>IFERROR(__xludf.DUMMYFUNCTION("""COMPUTED_VALUE"""),"English, German")</f>
        <v>English, German</v>
      </c>
      <c r="J391" s="21" t="str">
        <f>IFERROR(__xludf.DUMMYFUNCTION("""COMPUTED_VALUE"""),"German")</f>
        <v>German</v>
      </c>
      <c r="K391" s="22">
        <f>IFERROR(__xludf.DUMMYFUNCTION("""COMPUTED_VALUE"""),44652.0)</f>
        <v>44652</v>
      </c>
      <c r="L391" s="23" t="str">
        <f>IFERROR(__xludf.DUMMYFUNCTION("""COMPUTED_VALUE"""),"https://masterplan.com/courses/mitarbeiterfuehrung-iii-lernen-foerdern-durch-starkes-feedback")</f>
        <v>https://masterplan.com/courses/mitarbeiterfuehrung-iii-lernen-foerdern-durch-starkes-feedback</v>
      </c>
    </row>
    <row r="392">
      <c r="A392" s="6" t="str">
        <f>IFERROR(__xludf.DUMMYFUNCTION("""COMPUTED_VALUE"""),"Mitarbeiterführung IV: Das Entwicklungsgespräch als Motivator")</f>
        <v>Mitarbeiterführung IV: Das Entwicklungsgespräch als Motivator</v>
      </c>
      <c r="B392" s="7" t="str">
        <f>IFERROR(__xludf.DUMMYFUNCTION("""COMPUTED_VALUE"""),"Leading Employees IV: The Development Talk as Motivator")</f>
        <v>Leading Employees IV: The Development Talk as Motivator</v>
      </c>
      <c r="C392" s="8" t="str">
        <f>IFERROR(__xludf.DUMMYFUNCTION("""COMPUTED_VALUE"""),"Was haben Konflikt- und Entwicklungsgespräche gemeinsam? Beide hinterlassen oftmals einen üblen Beigeschmack. Wie gelingt es dir als Führungskraft, Gespräche mit deinen Mitarbeitenden so zu gestalten, dass diese das Gespräch im Anschluss topmotiviert verl"&amp;"assen?")</f>
        <v>Was haben Konflikt- und Entwicklungsgespräche gemeinsam? Beide hinterlassen oftmals einen üblen Beigeschmack. Wie gelingt es dir als Führungskraft, Gespräche mit deinen Mitarbeitenden so zu gestalten, dass diese das Gespräch im Anschluss topmotiviert verlassen?</v>
      </c>
      <c r="D392" s="8" t="str">
        <f>IFERROR(__xludf.DUMMYFUNCTION("""COMPUTED_VALUE"""),"What do conflict resolution conversations and development reviews have in common? They often end on an unpleasant note. So, how can a leader design these conversations in a way that motivates their employees?")</f>
        <v>What do conflict resolution conversations and development reviews have in common? They often end on an unpleasant note. So, how can a leader design these conversations in a way that motivates their employees?</v>
      </c>
      <c r="E392" s="26" t="str">
        <f>IFERROR(__xludf.DUMMYFUNCTION("""COMPUTED_VALUE"""),"Collaboration and Leadership")</f>
        <v>Collaboration and Leadership</v>
      </c>
      <c r="F392" s="10" t="str">
        <f>IFERROR(__xludf.DUMMYFUNCTION("""COMPUTED_VALUE"""),"Zeit Akademie - Niels Van Quaquebeke")</f>
        <v>Zeit Akademie - Niels Van Quaquebeke</v>
      </c>
      <c r="G392" s="11">
        <f>IFERROR(__xludf.DUMMYFUNCTION("""COMPUTED_VALUE"""),40.0)</f>
        <v>40</v>
      </c>
      <c r="H392" s="11">
        <f>IFERROR(__xludf.DUMMYFUNCTION("""COMPUTED_VALUE"""),22.0)</f>
        <v>22</v>
      </c>
      <c r="I392" s="12" t="str">
        <f>IFERROR(__xludf.DUMMYFUNCTION("""COMPUTED_VALUE"""),"English, German")</f>
        <v>English, German</v>
      </c>
      <c r="J392" s="12" t="str">
        <f>IFERROR(__xludf.DUMMYFUNCTION("""COMPUTED_VALUE"""),"German")</f>
        <v>German</v>
      </c>
      <c r="K392" s="13">
        <f>IFERROR(__xludf.DUMMYFUNCTION("""COMPUTED_VALUE"""),44652.0)</f>
        <v>44652</v>
      </c>
      <c r="L392" s="14" t="str">
        <f>IFERROR(__xludf.DUMMYFUNCTION("""COMPUTED_VALUE"""),"https://masterplan.com/courses/mitarbeiterfuhrung-iv-das-entwicklungsgesprach-als-motivator")</f>
        <v>https://masterplan.com/courses/mitarbeiterfuhrung-iv-das-entwicklungsgesprach-als-motivator</v>
      </c>
    </row>
    <row r="393">
      <c r="A393" s="15" t="str">
        <f>IFERROR(__xludf.DUMMYFUNCTION("""COMPUTED_VALUE"""),"Mitarbeiterführung VI: Gute Stimmung für den Erfolg")</f>
        <v>Mitarbeiterführung VI: Gute Stimmung für den Erfolg</v>
      </c>
      <c r="B393" s="16" t="str">
        <f>IFERROR(__xludf.DUMMYFUNCTION("""COMPUTED_VALUE"""),"Leading Employees VI: Spreading Positivity for Success")</f>
        <v>Leading Employees VI: Spreading Positivity for Success</v>
      </c>
      <c r="C393" s="17" t="str">
        <f>IFERROR(__xludf.DUMMYFUNCTION("""COMPUTED_VALUE"""),"Was löst pures Glück in uns aus? Lässt sich Positivität auf unsere Mitmenschen übertragen? Finde es heraus! Du erfährst außerdem, wie du auf deine und die psychische Gesundheit deiner Mitarbeitenden Acht geben kannst – am Ende des Tages zählt nur das Glüc"&amp;"klichsein!")</f>
        <v>Was löst pures Glück in uns aus? Lässt sich Positivität auf unsere Mitmenschen übertragen? Finde es heraus! Du erfährst außerdem, wie du auf deine und die psychische Gesundheit deiner Mitarbeitenden Acht geben kannst – am Ende des Tages zählt nur das Glücklichsein!</v>
      </c>
      <c r="D393" s="17" t="str">
        <f>IFERROR(__xludf.DUMMYFUNCTION("""COMPUTED_VALUE"""),"What triggers pure happiness within us? Can positivity be contagious to our fellow human beings? Find out! You will also learn how to take care of your mental health and that of your employees - at the end of the day, happiness is what counts!")</f>
        <v>What triggers pure happiness within us? Can positivity be contagious to our fellow human beings? Find out! You will also learn how to take care of your mental health and that of your employees - at the end of the day, happiness is what counts!</v>
      </c>
      <c r="E393" s="26" t="str">
        <f>IFERROR(__xludf.DUMMYFUNCTION("""COMPUTED_VALUE"""),"Collaboration and Leadership")</f>
        <v>Collaboration and Leadership</v>
      </c>
      <c r="F393" s="19" t="str">
        <f>IFERROR(__xludf.DUMMYFUNCTION("""COMPUTED_VALUE"""),"Zeit Akademie - Niels Van Quaquebeke")</f>
        <v>Zeit Akademie - Niels Van Quaquebeke</v>
      </c>
      <c r="G393" s="20">
        <f>IFERROR(__xludf.DUMMYFUNCTION("""COMPUTED_VALUE"""),43.0)</f>
        <v>43</v>
      </c>
      <c r="H393" s="20">
        <f>IFERROR(__xludf.DUMMYFUNCTION("""COMPUTED_VALUE"""),25.0)</f>
        <v>25</v>
      </c>
      <c r="I393" s="21" t="str">
        <f>IFERROR(__xludf.DUMMYFUNCTION("""COMPUTED_VALUE"""),"English, German")</f>
        <v>English, German</v>
      </c>
      <c r="J393" s="21" t="str">
        <f>IFERROR(__xludf.DUMMYFUNCTION("""COMPUTED_VALUE"""),"German")</f>
        <v>German</v>
      </c>
      <c r="K393" s="22">
        <f>IFERROR(__xludf.DUMMYFUNCTION("""COMPUTED_VALUE"""),44652.0)</f>
        <v>44652</v>
      </c>
      <c r="L393" s="23" t="str">
        <f>IFERROR(__xludf.DUMMYFUNCTION("""COMPUTED_VALUE"""),"https://masterplan.com/courses/mitarbeiterfuhrung-vi-gute-stimmung-fuer-den-erfolg")</f>
        <v>https://masterplan.com/courses/mitarbeiterfuhrung-vi-gute-stimmung-fuer-den-erfolg</v>
      </c>
    </row>
    <row r="394">
      <c r="A394" s="6" t="str">
        <f>IFERROR(__xludf.DUMMYFUNCTION("""COMPUTED_VALUE"""),"Die Formen der Macht und wie du sie einsetzt")</f>
        <v>Die Formen der Macht und wie du sie einsetzt</v>
      </c>
      <c r="B394" s="7" t="str">
        <f>IFERROR(__xludf.DUMMYFUNCTION("""COMPUTED_VALUE"""),"The Many Forms of Power and How to Use Them")</f>
        <v>The Many Forms of Power and How to Use Them</v>
      </c>
      <c r="C394" s="8" t="str">
        <f>IFERROR(__xludf.DUMMYFUNCTION("""COMPUTED_VALUE"""),"Du musst weder Superman, noch die Queen oder ein CEO sein, um Macht zu besitzen. Jeder von uns ist bereits in irgendeiner Form ""mächtig"". Welche Formen von Macht gibt es und weitaus interessanter: Welche Möglichkeiten besitzt du, deine Macht zu steigern"&amp;"?")</f>
        <v>Du musst weder Superman, noch die Queen oder ein CEO sein, um Macht zu besitzen. Jeder von uns ist bereits in irgendeiner Form "mächtig". Welche Formen von Macht gibt es und weitaus interessanter: Welche Möglichkeiten besitzt du, deine Macht zu steigern?</v>
      </c>
      <c r="D394" s="8" t="str">
        <f>IFERROR(__xludf.DUMMYFUNCTION("""COMPUTED_VALUE"""),"You don’t need to be superman, a queen or a CEO to have power, because everyone already has power in some form or another. Here you'll learn to identify and describe the different types of power and most importantly: how you can empower yourself to gain p"&amp;"ower!")</f>
        <v>You don’t need to be superman, a queen or a CEO to have power, because everyone already has power in some form or another. Here you'll learn to identify and describe the different types of power and most importantly: how you can empower yourself to gain power!</v>
      </c>
      <c r="E394" s="24" t="str">
        <f>IFERROR(__xludf.DUMMYFUNCTION("""COMPUTED_VALUE"""),"Emotional Intelligence")</f>
        <v>Emotional Intelligence</v>
      </c>
      <c r="F394" s="10" t="str">
        <f>IFERROR(__xludf.DUMMYFUNCTION("""COMPUTED_VALUE"""),"Complexly - Crash Course")</f>
        <v>Complexly - Crash Course</v>
      </c>
      <c r="G394" s="11">
        <f>IFERROR(__xludf.DUMMYFUNCTION("""COMPUTED_VALUE"""),16.0)</f>
        <v>16</v>
      </c>
      <c r="H394" s="11">
        <f>IFERROR(__xludf.DUMMYFUNCTION("""COMPUTED_VALUE"""),4.0)</f>
        <v>4</v>
      </c>
      <c r="I394" s="12" t="str">
        <f>IFERROR(__xludf.DUMMYFUNCTION("""COMPUTED_VALUE"""),"English, German")</f>
        <v>English, German</v>
      </c>
      <c r="J394" s="12" t="str">
        <f>IFERROR(__xludf.DUMMYFUNCTION("""COMPUTED_VALUE"""),"English")</f>
        <v>English</v>
      </c>
      <c r="K394" s="13">
        <f>IFERROR(__xludf.DUMMYFUNCTION("""COMPUTED_VALUE"""),44650.0)</f>
        <v>44650</v>
      </c>
      <c r="L394" s="14" t="str">
        <f>IFERROR(__xludf.DUMMYFUNCTION("""COMPUTED_VALUE"""),"https://masterplan.com/courses/die-formen-der-macht-und-wie-du-sie-einsetzt")</f>
        <v>https://masterplan.com/courses/die-formen-der-macht-und-wie-du-sie-einsetzt</v>
      </c>
    </row>
    <row r="395">
      <c r="A395" s="15" t="str">
        <f>IFERROR(__xludf.DUMMYFUNCTION("""COMPUTED_VALUE"""),"Gerechtigkeit im Job: Die 3 Prinzipien von Fairness")</f>
        <v>Gerechtigkeit im Job: Die 3 Prinzipien von Fairness</v>
      </c>
      <c r="B395" s="16" t="str">
        <f>IFERROR(__xludf.DUMMYFUNCTION("""COMPUTED_VALUE"""),"Justice at Work: The 3 Principles of Fairness")</f>
        <v>Justice at Work: The 3 Principles of Fairness</v>
      </c>
      <c r="C395" s="17" t="str">
        <f>IFERROR(__xludf.DUMMYFUNCTION("""COMPUTED_VALUE"""),"Was Menschen und Affen gemeinsam haben? Bekommen wir nicht das, was wir denken verdient zu haben, werden wir unzufrieden. Lerne, wie du faire Entscheidungen triffst und lass dir von Frans De Waals Schimpansen mehr über den Gerechtigkeitssinn beibringen!")</f>
        <v>Was Menschen und Affen gemeinsam haben? Bekommen wir nicht das, was wir denken verdient zu haben, werden wir unzufrieden. Lerne, wie du faire Entscheidungen triffst und lass dir von Frans De Waals Schimpansen mehr über den Gerechtigkeitssinn beibringen!</v>
      </c>
      <c r="D395" s="17" t="str">
        <f>IFERROR(__xludf.DUMMYFUNCTION("""COMPUTED_VALUE"""),"What do apes and humans have in common? We get frustrated when what we get doesn't match what we think we deserve compared to what others have. Learn how to play fair at work and why Frans de Waal's chimpanzee suddenly preferred grapes over cucumber!")</f>
        <v>What do apes and humans have in common? We get frustrated when what we get doesn't match what we think we deserve compared to what others have. Learn how to play fair at work and why Frans de Waal's chimpanzee suddenly preferred grapes over cucumber!</v>
      </c>
      <c r="E395" s="9" t="str">
        <f>IFERROR(__xludf.DUMMYFUNCTION("""COMPUTED_VALUE"""),"Global Citizenship")</f>
        <v>Global Citizenship</v>
      </c>
      <c r="F395" s="19" t="str">
        <f>IFERROR(__xludf.DUMMYFUNCTION("""COMPUTED_VALUE"""),"Complexly - Crash Course")</f>
        <v>Complexly - Crash Course</v>
      </c>
      <c r="G395" s="20">
        <f>IFERROR(__xludf.DUMMYFUNCTION("""COMPUTED_VALUE"""),14.0)</f>
        <v>14</v>
      </c>
      <c r="H395" s="20">
        <f>IFERROR(__xludf.DUMMYFUNCTION("""COMPUTED_VALUE"""),4.0)</f>
        <v>4</v>
      </c>
      <c r="I395" s="21" t="str">
        <f>IFERROR(__xludf.DUMMYFUNCTION("""COMPUTED_VALUE"""),"English, German")</f>
        <v>English, German</v>
      </c>
      <c r="J395" s="21" t="str">
        <f>IFERROR(__xludf.DUMMYFUNCTION("""COMPUTED_VALUE"""),"English")</f>
        <v>English</v>
      </c>
      <c r="K395" s="22">
        <f>IFERROR(__xludf.DUMMYFUNCTION("""COMPUTED_VALUE"""),44650.0)</f>
        <v>44650</v>
      </c>
      <c r="L395" s="23" t="str">
        <f>IFERROR(__xludf.DUMMYFUNCTION("""COMPUTED_VALUE"""),"https://masterplan.com/courses/gerechtigkeit-im-job-die-3-prinzipien-von-fairness")</f>
        <v>https://masterplan.com/courses/gerechtigkeit-im-job-die-3-prinzipien-von-fairness</v>
      </c>
    </row>
    <row r="396">
      <c r="A396" s="6" t="str">
        <f>IFERROR(__xludf.DUMMYFUNCTION("""COMPUTED_VALUE"""),"Das Einmaleins des Content Marketing")</f>
        <v>Das Einmaleins des Content Marketing</v>
      </c>
      <c r="B396" s="7" t="str">
        <f>IFERROR(__xludf.DUMMYFUNCTION("""COMPUTED_VALUE"""),"The Ins and Outs of Content Marketing")</f>
        <v>The Ins and Outs of Content Marketing</v>
      </c>
      <c r="C396" s="8" t="str">
        <f>IFERROR(__xludf.DUMMYFUNCTION("""COMPUTED_VALUE"""),"Digitale Marketingkampagnen können deine Markenbekanntheit steigern, dein Suchmaschinenranking verbessern und das Interesse deiner Zielgruppe wecken. In diesem Kurs von Brafton lernst du, was Content-Marketing ist, wie du es nutzt und wie du seine Wirkung"&amp;" auswertest. ")</f>
        <v>Digitale Marketingkampagnen können deine Markenbekanntheit steigern, dein Suchmaschinenranking verbessern und das Interesse deiner Zielgruppe wecken. In diesem Kurs von Brafton lernst du, was Content-Marketing ist, wie du es nutzt und wie du seine Wirkung auswertest. </v>
      </c>
      <c r="D396" s="8" t="str">
        <f>IFERROR(__xludf.DUMMYFUNCTION("""COMPUTED_VALUE"""),"Creating and running digital marketing campagins can increase your brand awareness, improve search engine rankings and generate audience interest. This deep dive from Brafton teaches you what content marketing is, how to use it, and how to measure its eff"&amp;"ectiveness.")</f>
        <v>Creating and running digital marketing campagins can increase your brand awareness, improve search engine rankings and generate audience interest. This deep dive from Brafton teaches you what content marketing is, how to use it, and how to measure its effectiveness.</v>
      </c>
      <c r="E396" s="9" t="str">
        <f>IFERROR(__xludf.DUMMYFUNCTION("""COMPUTED_VALUE"""),"Global Citizenship")</f>
        <v>Global Citizenship</v>
      </c>
      <c r="F396" s="10" t="str">
        <f>IFERROR(__xludf.DUMMYFUNCTION("""COMPUTED_VALUE"""),"Brafton")</f>
        <v>Brafton</v>
      </c>
      <c r="G396" s="11">
        <f>IFERROR(__xludf.DUMMYFUNCTION("""COMPUTED_VALUE"""),64.0)</f>
        <v>64</v>
      </c>
      <c r="H396" s="11">
        <f>IFERROR(__xludf.DUMMYFUNCTION("""COMPUTED_VALUE"""),23.0)</f>
        <v>23</v>
      </c>
      <c r="I396" s="12" t="str">
        <f>IFERROR(__xludf.DUMMYFUNCTION("""COMPUTED_VALUE"""),"English, German")</f>
        <v>English, German</v>
      </c>
      <c r="J396" s="12" t="str">
        <f>IFERROR(__xludf.DUMMYFUNCTION("""COMPUTED_VALUE"""),"Text only")</f>
        <v>Text only</v>
      </c>
      <c r="K396" s="13">
        <f>IFERROR(__xludf.DUMMYFUNCTION("""COMPUTED_VALUE"""),44650.0)</f>
        <v>44650</v>
      </c>
      <c r="L396" s="14" t="str">
        <f>IFERROR(__xludf.DUMMYFUNCTION("""COMPUTED_VALUE"""),"https://masterplan.com/courses/das-einmaleins-des-content-marketing")</f>
        <v>https://masterplan.com/courses/das-einmaleins-des-content-marketing</v>
      </c>
    </row>
    <row r="397">
      <c r="A397" s="15" t="str">
        <f>IFERROR(__xludf.DUMMYFUNCTION("""COMPUTED_VALUE"""),"Die SMART-Methode: So erreichst du deine Ziele")</f>
        <v>Die SMART-Methode: So erreichst du deine Ziele</v>
      </c>
      <c r="B397" s="16" t="str">
        <f>IFERROR(__xludf.DUMMYFUNCTION("""COMPUTED_VALUE"""),"How to Set and Achieve SMART Goals")</f>
        <v>How to Set and Achieve SMART Goals</v>
      </c>
      <c r="C397" s="17" t="str">
        <f>IFERROR(__xludf.DUMMYFUNCTION("""COMPUTED_VALUE"""),"Wir alle haben Träume, die wir erreichen wollen. Ganz gleich, wie groß sie auch sein mögen. Indem du deine Ziele S.M.A.R.T formulierst, lassen sich selbst große Pläne überschaubar unterteilen und dadurch Schritt für Schritt in die Tat umsetzen.")</f>
        <v>Wir alle haben Träume, die wir erreichen wollen. Ganz gleich, wie groß sie auch sein mögen. Indem du deine Ziele S.M.A.R.T formulierst, lassen sich selbst große Pläne überschaubar unterteilen und dadurch Schritt für Schritt in die Tat umsetzen.</v>
      </c>
      <c r="D397" s="17" t="str">
        <f>IFERROR(__xludf.DUMMYFUNCTION("""COMPUTED_VALUE"""),"We all have dreams we want to achieve no matter how big they might be. By setting some S.M.A.R.T goals, you can break down your big plans into manageable steps. Are you ready to create the life you wish for?")</f>
        <v>We all have dreams we want to achieve no matter how big they might be. By setting some S.M.A.R.T goals, you can break down your big plans into manageable steps. Are you ready to create the life you wish for?</v>
      </c>
      <c r="E397" s="26" t="str">
        <f>IFERROR(__xludf.DUMMYFUNCTION("""COMPUTED_VALUE"""),"Collaboration and Leadership")</f>
        <v>Collaboration and Leadership</v>
      </c>
      <c r="F397" s="19" t="str">
        <f>IFERROR(__xludf.DUMMYFUNCTION("""COMPUTED_VALUE"""),"Complexly - Crash Course")</f>
        <v>Complexly - Crash Course</v>
      </c>
      <c r="G397" s="20">
        <f>IFERROR(__xludf.DUMMYFUNCTION("""COMPUTED_VALUE"""),12.0)</f>
        <v>12</v>
      </c>
      <c r="H397" s="20">
        <f>IFERROR(__xludf.DUMMYFUNCTION("""COMPUTED_VALUE"""),4.0)</f>
        <v>4</v>
      </c>
      <c r="I397" s="21" t="str">
        <f>IFERROR(__xludf.DUMMYFUNCTION("""COMPUTED_VALUE"""),"English, German")</f>
        <v>English, German</v>
      </c>
      <c r="J397" s="21" t="str">
        <f>IFERROR(__xludf.DUMMYFUNCTION("""COMPUTED_VALUE"""),"English")</f>
        <v>English</v>
      </c>
      <c r="K397" s="22">
        <f>IFERROR(__xludf.DUMMYFUNCTION("""COMPUTED_VALUE"""),44648.0)</f>
        <v>44648</v>
      </c>
      <c r="L397" s="23" t="str">
        <f>IFERROR(__xludf.DUMMYFUNCTION("""COMPUTED_VALUE"""),"https://masterplan.com/courses/die-smart-methode-so-erreichst-du-deine-ziele")</f>
        <v>https://masterplan.com/courses/die-smart-methode-so-erreichst-du-deine-ziele</v>
      </c>
    </row>
    <row r="398">
      <c r="A398" s="6" t="str">
        <f>IFERROR(__xludf.DUMMYFUNCTION("""COMPUTED_VALUE"""),"Erste Schritte mit Zoom II: Meetings planen &amp; umsetzen")</f>
        <v>Erste Schritte mit Zoom II: Meetings planen &amp; umsetzen</v>
      </c>
      <c r="B398" s="7" t="str">
        <f>IFERROR(__xludf.DUMMYFUNCTION("""COMPUTED_VALUE"""),"n.a.")</f>
        <v>n.a.</v>
      </c>
      <c r="C398" s="8" t="str">
        <f>IFERROR(__xludf.DUMMYFUNCTION("""COMPUTED_VALUE"""),"Kennst du dich mit den wichtigsten Features von Zoom aus? Erstelle Meetings, spannende Umfragen, Registrierungsmasken und vieles mehr. Mit unseren Tipps wirst du zur Vorzeige-Moderator:in! Erfahre außerdem, was es mit dem sogenannten ""Moderatorenschlüsse"&amp;"l"" auf sich hat.")</f>
        <v>Kennst du dich mit den wichtigsten Features von Zoom aus? Erstelle Meetings, spannende Umfragen, Registrierungsmasken und vieles mehr. Mit unseren Tipps wirst du zur Vorzeige-Moderator:in! Erfahre außerdem, was es mit dem sogenannten "Moderatorenschlüssel" auf sich hat.</v>
      </c>
      <c r="D398" s="8" t="str">
        <f>IFERROR(__xludf.DUMMYFUNCTION("""COMPUTED_VALUE"""),"n.a.")</f>
        <v>n.a.</v>
      </c>
      <c r="E398" s="28" t="str">
        <f>IFERROR(__xludf.DUMMYFUNCTION("""COMPUTED_VALUE"""),"Communication")</f>
        <v>Communication</v>
      </c>
      <c r="F398" s="10" t="str">
        <f>IFERROR(__xludf.DUMMYFUNCTION("""COMPUTED_VALUE"""),"Erwachsenenbildung.digital")</f>
        <v>Erwachsenenbildung.digital</v>
      </c>
      <c r="G398" s="11">
        <f>IFERROR(__xludf.DUMMYFUNCTION("""COMPUTED_VALUE"""),55.0)</f>
        <v>55</v>
      </c>
      <c r="H398" s="11">
        <f>IFERROR(__xludf.DUMMYFUNCTION("""COMPUTED_VALUE"""),21.0)</f>
        <v>21</v>
      </c>
      <c r="I398" s="12" t="str">
        <f>IFERROR(__xludf.DUMMYFUNCTION("""COMPUTED_VALUE"""),"German")</f>
        <v>German</v>
      </c>
      <c r="J398" s="12" t="str">
        <f>IFERROR(__xludf.DUMMYFUNCTION("""COMPUTED_VALUE"""),"German")</f>
        <v>German</v>
      </c>
      <c r="K398" s="13">
        <f>IFERROR(__xludf.DUMMYFUNCTION("""COMPUTED_VALUE"""),44648.0)</f>
        <v>44648</v>
      </c>
      <c r="L398" s="14" t="str">
        <f>IFERROR(__xludf.DUMMYFUNCTION("""COMPUTED_VALUE"""),"https://masterplan.com/courses/erste-schritte-mit-zoom-ii-meetings-planen-und-umsetzen")</f>
        <v>https://masterplan.com/courses/erste-schritte-mit-zoom-ii-meetings-planen-und-umsetzen</v>
      </c>
    </row>
    <row r="399">
      <c r="A399" s="15" t="str">
        <f>IFERROR(__xludf.DUMMYFUNCTION("""COMPUTED_VALUE"""),"Positiv beeinflussen: Die Macht der Manipulation")</f>
        <v>Positiv beeinflussen: Die Macht der Manipulation</v>
      </c>
      <c r="B399" s="16" t="str">
        <f>IFERROR(__xludf.DUMMYFUNCTION("""COMPUTED_VALUE"""),"Influencing Positively: The Power of Manipulation")</f>
        <v>Influencing Positively: The Power of Manipulation</v>
      </c>
      <c r="C399" s="17" t="str">
        <f>IFERROR(__xludf.DUMMYFUNCTION("""COMPUTED_VALUE"""),"Selbstvertrauen und Optimismus üben eine starke Anziehungskraft aus. Hast du Lust, an deinem Charisma zu arbeiten? Unsere Tipps helfen dir nicht nur, charismatischer aufzutreten; Mit deinem neu erlernten Wissen findest du heraus, ob du dich von manchen Me"&amp;"nschen eventuell nur hast Blenden lassen!")</f>
        <v>Selbstvertrauen und Optimismus üben eine starke Anziehungskraft aus. Hast du Lust, an deinem Charisma zu arbeiten? Unsere Tipps helfen dir nicht nur, charismatischer aufzutreten; Mit deinem neu erlernten Wissen findest du heraus, ob du dich von manchen Menschen eventuell nur hast Blenden lassen!</v>
      </c>
      <c r="D399" s="17" t="str">
        <f>IFERROR(__xludf.DUMMYFUNCTION("""COMPUTED_VALUE"""),"What do confidence, praise, and optimism have in common? They're a powerful form of influence. Rise and shine – let's transform yourself into a more influential person. These tips will help you think about why you're trusting a charismatic person– and whe"&amp;"ther or not you should.")</f>
        <v>What do confidence, praise, and optimism have in common? They're a powerful form of influence. Rise and shine – let's transform yourself into a more influential person. These tips will help you think about why you're trusting a charismatic person– and whether or not you should.</v>
      </c>
      <c r="E399" s="26" t="str">
        <f>IFERROR(__xludf.DUMMYFUNCTION("""COMPUTED_VALUE"""),"Collaboration and Leadership")</f>
        <v>Collaboration and Leadership</v>
      </c>
      <c r="F399" s="19" t="str">
        <f>IFERROR(__xludf.DUMMYFUNCTION("""COMPUTED_VALUE"""),"Complexly - Crash Course")</f>
        <v>Complexly - Crash Course</v>
      </c>
      <c r="G399" s="20">
        <f>IFERROR(__xludf.DUMMYFUNCTION("""COMPUTED_VALUE"""),15.0)</f>
        <v>15</v>
      </c>
      <c r="H399" s="20">
        <f>IFERROR(__xludf.DUMMYFUNCTION("""COMPUTED_VALUE"""),4.0)</f>
        <v>4</v>
      </c>
      <c r="I399" s="21" t="str">
        <f>IFERROR(__xludf.DUMMYFUNCTION("""COMPUTED_VALUE"""),"English, German")</f>
        <v>English, German</v>
      </c>
      <c r="J399" s="21" t="str">
        <f>IFERROR(__xludf.DUMMYFUNCTION("""COMPUTED_VALUE"""),"English")</f>
        <v>English</v>
      </c>
      <c r="K399" s="22">
        <f>IFERROR(__xludf.DUMMYFUNCTION("""COMPUTED_VALUE"""),44648.0)</f>
        <v>44648</v>
      </c>
      <c r="L399" s="23" t="str">
        <f>IFERROR(__xludf.DUMMYFUNCTION("""COMPUTED_VALUE"""),"https://masterplan.com/courses/positiv-beeinflussen-die-macht-der-manipulation")</f>
        <v>https://masterplan.com/courses/positiv-beeinflussen-die-macht-der-manipulation</v>
      </c>
    </row>
    <row r="400">
      <c r="A400" s="6" t="str">
        <f>IFERROR(__xludf.DUMMYFUNCTION("""COMPUTED_VALUE"""),"Circular Economy: Das unendliche Potenzial")</f>
        <v>Circular Economy: Das unendliche Potenzial</v>
      </c>
      <c r="B400" s="7" t="str">
        <f>IFERROR(__xludf.DUMMYFUNCTION("""COMPUTED_VALUE"""),"The Endless Potential of the Circular Economy")</f>
        <v>The Endless Potential of the Circular Economy</v>
      </c>
      <c r="C400" s="8" t="str">
        <f>IFERROR(__xludf.DUMMYFUNCTION("""COMPUTED_VALUE"""),"Die Kreislaufwirtschaft ist nicht nur nachhaltig- sie ist das Modell der Zukunft. Erfahre, wie sich durch sie Materialien, Modelle und Metriken verändern und wie du diese Prinzipien in dein Unternehmen einbinden kannst, damit du nicht auf der Strecke blei"&amp;"bst.")</f>
        <v>Die Kreislaufwirtschaft ist nicht nur nachhaltig- sie ist das Modell der Zukunft. Erfahre, wie sich durch sie Materialien, Modelle und Metriken verändern und wie du diese Prinzipien in dein Unternehmen einbinden kannst, damit du nicht auf der Strecke bleibst.</v>
      </c>
      <c r="D400" s="8" t="str">
        <f>IFERROR(__xludf.DUMMYFUNCTION("""COMPUTED_VALUE"""),"The circular economy is about more than just sustainability– it's the model of the future. Learn from the experts how this changes the materials, models, and metrics we use, and how to integrate these principles into your organization– or be left behind.")</f>
        <v>The circular economy is about more than just sustainability– it's the model of the future. Learn from the experts how this changes the materials, models, and metrics we use, and how to integrate these principles into your organization– or be left behind.</v>
      </c>
      <c r="E400" s="9" t="str">
        <f>IFERROR(__xludf.DUMMYFUNCTION("""COMPUTED_VALUE"""),"Global Citizenship")</f>
        <v>Global Citizenship</v>
      </c>
      <c r="F400" s="10" t="str">
        <f>IFERROR(__xludf.DUMMYFUNCTION("""COMPUTED_VALUE"""),"World Economic Forum")</f>
        <v>World Economic Forum</v>
      </c>
      <c r="G400" s="11">
        <f>IFERROR(__xludf.DUMMYFUNCTION("""COMPUTED_VALUE"""),45.0)</f>
        <v>45</v>
      </c>
      <c r="H400" s="11">
        <f>IFERROR(__xludf.DUMMYFUNCTION("""COMPUTED_VALUE"""),16.0)</f>
        <v>16</v>
      </c>
      <c r="I400" s="12" t="str">
        <f>IFERROR(__xludf.DUMMYFUNCTION("""COMPUTED_VALUE"""),"English, German")</f>
        <v>English, German</v>
      </c>
      <c r="J400" s="12" t="str">
        <f>IFERROR(__xludf.DUMMYFUNCTION("""COMPUTED_VALUE"""),"English")</f>
        <v>English</v>
      </c>
      <c r="K400" s="13">
        <f>IFERROR(__xludf.DUMMYFUNCTION("""COMPUTED_VALUE"""),44648.0)</f>
        <v>44648</v>
      </c>
      <c r="L400" s="14" t="str">
        <f>IFERROR(__xludf.DUMMYFUNCTION("""COMPUTED_VALUE"""),"https://masterplan.com/courses/circular-economy-das-unendliche-potenzial")</f>
        <v>https://masterplan.com/courses/circular-economy-das-unendliche-potenzial</v>
      </c>
    </row>
    <row r="401">
      <c r="A401" s="15" t="str">
        <f>IFERROR(__xludf.DUMMYFUNCTION("""COMPUTED_VALUE"""),"Teamwork: 4 Fehler, die Teams nicht machen sollten")</f>
        <v>Teamwork: 4 Fehler, die Teams nicht machen sollten</v>
      </c>
      <c r="B401" s="16" t="str">
        <f>IFERROR(__xludf.DUMMYFUNCTION("""COMPUTED_VALUE"""),"How to Avoid Teamwork Disasters")</f>
        <v>How to Avoid Teamwork Disasters</v>
      </c>
      <c r="C401" s="17" t="str">
        <f>IFERROR(__xludf.DUMMYFUNCTION("""COMPUTED_VALUE"""),"Sind Gruppenprojekte von vornherein zum Scheitern verurteilt? Nicht, wenn du weißt, wie du Meetings effizient gestaltet, die Kreativität am Laufen hältst und Gruppendenken keine Chance gibst!")</f>
        <v>Sind Gruppenprojekte von vornherein zum Scheitern verurteilt? Nicht, wenn du weißt, wie du Meetings effizient gestaltet, die Kreativität am Laufen hältst und Gruppendenken keine Chance gibst!</v>
      </c>
      <c r="D401" s="17" t="str">
        <f>IFERROR(__xludf.DUMMYFUNCTION("""COMPUTED_VALUE"""),"Group projects have such a bad reputation that there are a hundred of memes about things that can go wrong. How can you avoid teamwork disasters in and out of your workplace? Let's keep that workflow flowing with the help of our tips!")</f>
        <v>Group projects have such a bad reputation that there are a hundred of memes about things that can go wrong. How can you avoid teamwork disasters in and out of your workplace? Let's keep that workflow flowing with the help of our tips!</v>
      </c>
      <c r="E401" s="26" t="str">
        <f>IFERROR(__xludf.DUMMYFUNCTION("""COMPUTED_VALUE"""),"Collaboration and Leadership")</f>
        <v>Collaboration and Leadership</v>
      </c>
      <c r="F401" s="19" t="str">
        <f>IFERROR(__xludf.DUMMYFUNCTION("""COMPUTED_VALUE"""),"Complexly - Crash Course")</f>
        <v>Complexly - Crash Course</v>
      </c>
      <c r="G401" s="20">
        <f>IFERROR(__xludf.DUMMYFUNCTION("""COMPUTED_VALUE"""),14.0)</f>
        <v>14</v>
      </c>
      <c r="H401" s="20">
        <f>IFERROR(__xludf.DUMMYFUNCTION("""COMPUTED_VALUE"""),4.0)</f>
        <v>4</v>
      </c>
      <c r="I401" s="21" t="str">
        <f>IFERROR(__xludf.DUMMYFUNCTION("""COMPUTED_VALUE"""),"English, German")</f>
        <v>English, German</v>
      </c>
      <c r="J401" s="21" t="str">
        <f>IFERROR(__xludf.DUMMYFUNCTION("""COMPUTED_VALUE"""),"English")</f>
        <v>English</v>
      </c>
      <c r="K401" s="22">
        <f>IFERROR(__xludf.DUMMYFUNCTION("""COMPUTED_VALUE"""),44648.0)</f>
        <v>44648</v>
      </c>
      <c r="L401" s="23" t="str">
        <f>IFERROR(__xludf.DUMMYFUNCTION("""COMPUTED_VALUE"""),"https://masterplan.com/courses/teamwork-4-fehler-die-teams-nicht-machen-sollten")</f>
        <v>https://masterplan.com/courses/teamwork-4-fehler-die-teams-nicht-machen-sollten</v>
      </c>
    </row>
    <row r="402">
      <c r="A402" s="6" t="str">
        <f>IFERROR(__xludf.DUMMYFUNCTION("""COMPUTED_VALUE"""),"Die Zukunft der Digitalen Transformation")</f>
        <v>Die Zukunft der Digitalen Transformation</v>
      </c>
      <c r="B402" s="7" t="str">
        <f>IFERROR(__xludf.DUMMYFUNCTION("""COMPUTED_VALUE"""),"The Future of Digital Transformation")</f>
        <v>The Future of Digital Transformation</v>
      </c>
      <c r="C402" s="8" t="str">
        <f>IFERROR(__xludf.DUMMYFUNCTION("""COMPUTED_VALUE"""),"Wie können wir eine globale Online-Gesellschaft schaffen, die auf Fairness, Transparenz und Vertrauen basiert? Das geht! In diesem Kurs lernst du neue technologische Entwicklungen kennen – vom 3D-Druck bis hin zu implantierbaren Geräten. Gibt es dabei auc"&amp;"h ethische Bedenken?")</f>
        <v>Wie können wir eine globale Online-Gesellschaft schaffen, die auf Fairness, Transparenz und Vertrauen basiert? Das geht! In diesem Kurs lernst du neue technologische Entwicklungen kennen – vom 3D-Druck bis hin zu implantierbaren Geräten. Gibt es dabei auch ethische Bedenken?</v>
      </c>
      <c r="D402" s="8" t="str">
        <f>IFERROR(__xludf.DUMMYFUNCTION("""COMPUTED_VALUE"""),"How can we make a global online society based on fairness, transparency, and trust? This course walks you through emerging technological advancements from 3D printing to blockchain to implanatable devices, along with the ethical concerns they bring.")</f>
        <v>How can we make a global online society based on fairness, transparency, and trust? This course walks you through emerging technological advancements from 3D printing to blockchain to implanatable devices, along with the ethical concerns they bring.</v>
      </c>
      <c r="E402" s="25" t="str">
        <f>IFERROR(__xludf.DUMMYFUNCTION("""COMPUTED_VALUE"""),"Digital Literacy")</f>
        <v>Digital Literacy</v>
      </c>
      <c r="F402" s="10" t="str">
        <f>IFERROR(__xludf.DUMMYFUNCTION("""COMPUTED_VALUE"""),"World Economic Forum")</f>
        <v>World Economic Forum</v>
      </c>
      <c r="G402" s="11">
        <f>IFERROR(__xludf.DUMMYFUNCTION("""COMPUTED_VALUE"""),24.0)</f>
        <v>24</v>
      </c>
      <c r="H402" s="11">
        <f>IFERROR(__xludf.DUMMYFUNCTION("""COMPUTED_VALUE"""),19.0)</f>
        <v>19</v>
      </c>
      <c r="I402" s="12" t="str">
        <f>IFERROR(__xludf.DUMMYFUNCTION("""COMPUTED_VALUE"""),"English, German")</f>
        <v>English, German</v>
      </c>
      <c r="J402" s="12" t="str">
        <f>IFERROR(__xludf.DUMMYFUNCTION("""COMPUTED_VALUE"""),"English")</f>
        <v>English</v>
      </c>
      <c r="K402" s="13">
        <f>IFERROR(__xludf.DUMMYFUNCTION("""COMPUTED_VALUE"""),44648.0)</f>
        <v>44648</v>
      </c>
      <c r="L402" s="14" t="str">
        <f>IFERROR(__xludf.DUMMYFUNCTION("""COMPUTED_VALUE"""),"https://masterplan.com/courses/die-zukunft-der-digitalen-transformation")</f>
        <v>https://masterplan.com/courses/die-zukunft-der-digitalen-transformation</v>
      </c>
    </row>
    <row r="403">
      <c r="A403" s="15" t="str">
        <f>IFERROR(__xludf.DUMMYFUNCTION("""COMPUTED_VALUE"""),"Faktencheck im Netz: Diese Tricks musst du kennen")</f>
        <v>Faktencheck im Netz: Diese Tricks musst du kennen</v>
      </c>
      <c r="B403" s="16" t="str">
        <f>IFERROR(__xludf.DUMMYFUNCTION("""COMPUTED_VALUE"""),"How to Check Facts Online: Tricks You Need to Know")</f>
        <v>How to Check Facts Online: Tricks You Need to Know</v>
      </c>
      <c r="C403" s="17" t="str">
        <f>IFERROR(__xludf.DUMMYFUNCTION("""COMPUTED_VALUE"""),"Die guten ins Töpfchen, die schlechten ins Kröpfchen! Das Internet ist voll mit Informationen, doch welche entsprechen der Wahrheit, welche sind frei erfunden? Lass dir keine Märchen erzählen – mit unseren Tipps enttarnst du Fake News, unseriöse Quellen u"&amp;"nd Deep Fakes!")</f>
        <v>Die guten ins Töpfchen, die schlechten ins Kröpfchen! Das Internet ist voll mit Informationen, doch welche entsprechen der Wahrheit, welche sind frei erfunden? Lass dir keine Märchen erzählen – mit unseren Tipps enttarnst du Fake News, unseriöse Quellen und Deep Fakes!</v>
      </c>
      <c r="D403" s="17" t="str">
        <f>IFERROR(__xludf.DUMMYFUNCTION("""COMPUTED_VALUE"""),"Can you spot fake news? Are you sure? Learn how to make a habit of taking a closer look at any information you find interesting or shareable or tugs on your heartstrings, because that's exactly the kind of information that can change your decisions– or ch"&amp;"ange you! ")</f>
        <v>Can you spot fake news? Are you sure? Learn how to make a habit of taking a closer look at any information you find interesting or shareable or tugs on your heartstrings, because that's exactly the kind of information that can change your decisions– or change you! </v>
      </c>
      <c r="E403" s="25" t="str">
        <f>IFERROR(__xludf.DUMMYFUNCTION("""COMPUTED_VALUE"""),"Digital Literacy")</f>
        <v>Digital Literacy</v>
      </c>
      <c r="F403" s="19" t="str">
        <f>IFERROR(__xludf.DUMMYFUNCTION("""COMPUTED_VALUE"""),"Complexly - John Green")</f>
        <v>Complexly - John Green</v>
      </c>
      <c r="G403" s="20">
        <f>IFERROR(__xludf.DUMMYFUNCTION("""COMPUTED_VALUE"""),120.0)</f>
        <v>120</v>
      </c>
      <c r="H403" s="20">
        <f>IFERROR(__xludf.DUMMYFUNCTION("""COMPUTED_VALUE"""),28.0)</f>
        <v>28</v>
      </c>
      <c r="I403" s="21" t="str">
        <f>IFERROR(__xludf.DUMMYFUNCTION("""COMPUTED_VALUE"""),"English, German")</f>
        <v>English, German</v>
      </c>
      <c r="J403" s="21" t="str">
        <f>IFERROR(__xludf.DUMMYFUNCTION("""COMPUTED_VALUE"""),"English")</f>
        <v>English</v>
      </c>
      <c r="K403" s="22">
        <f>IFERROR(__xludf.DUMMYFUNCTION("""COMPUTED_VALUE"""),44645.0)</f>
        <v>44645</v>
      </c>
      <c r="L403" s="23" t="str">
        <f>IFERROR(__xludf.DUMMYFUNCTION("""COMPUTED_VALUE"""),"https://masterplan.com/courses/faktencheck-im-netz-diese-tricks-musst-du-kennen")</f>
        <v>https://masterplan.com/courses/faktencheck-im-netz-diese-tricks-musst-du-kennen</v>
      </c>
    </row>
    <row r="404">
      <c r="A404" s="6" t="str">
        <f>IFERROR(__xludf.DUMMYFUNCTION("""COMPUTED_VALUE"""),"Mit Webex Online-Meetings meistern: Die Basics")</f>
        <v>Mit Webex Online-Meetings meistern: Die Basics</v>
      </c>
      <c r="B404" s="7" t="str">
        <f>IFERROR(__xludf.DUMMYFUNCTION("""COMPUTED_VALUE"""),"n.a.")</f>
        <v>n.a.</v>
      </c>
      <c r="C404" s="8" t="str">
        <f>IFERROR(__xludf.DUMMYFUNCTION("""COMPUTED_VALUE"""),"Du bist Neuling im Umgang mit Webex und willst aus deinen online Besprechungen das Beste rausholen? Dieser Kurs gibt dir einen Überblick über die wichtigsten Funktionen sowie nützliche Tipps für die Arbeit mit Webex!")</f>
        <v>Du bist Neuling im Umgang mit Webex und willst aus deinen online Besprechungen das Beste rausholen? Dieser Kurs gibt dir einen Überblick über die wichtigsten Funktionen sowie nützliche Tipps für die Arbeit mit Webex!</v>
      </c>
      <c r="D404" s="8" t="str">
        <f>IFERROR(__xludf.DUMMYFUNCTION("""COMPUTED_VALUE"""),"n.a.")</f>
        <v>n.a.</v>
      </c>
      <c r="E404" s="27" t="str">
        <f>IFERROR(__xludf.DUMMYFUNCTION("""COMPUTED_VALUE"""),"Tools &amp; Tutorials")</f>
        <v>Tools &amp; Tutorials</v>
      </c>
      <c r="F404" s="10" t="str">
        <f>IFERROR(__xludf.DUMMYFUNCTION("""COMPUTED_VALUE"""),"Erwachsenenbildung.digital")</f>
        <v>Erwachsenenbildung.digital</v>
      </c>
      <c r="G404" s="11">
        <f>IFERROR(__xludf.DUMMYFUNCTION("""COMPUTED_VALUE"""),58.0)</f>
        <v>58</v>
      </c>
      <c r="H404" s="11">
        <f>IFERROR(__xludf.DUMMYFUNCTION("""COMPUTED_VALUE"""),23.0)</f>
        <v>23</v>
      </c>
      <c r="I404" s="12" t="str">
        <f>IFERROR(__xludf.DUMMYFUNCTION("""COMPUTED_VALUE"""),"German")</f>
        <v>German</v>
      </c>
      <c r="J404" s="12" t="str">
        <f>IFERROR(__xludf.DUMMYFUNCTION("""COMPUTED_VALUE"""),"German")</f>
        <v>German</v>
      </c>
      <c r="K404" s="13">
        <f>IFERROR(__xludf.DUMMYFUNCTION("""COMPUTED_VALUE"""),44645.0)</f>
        <v>44645</v>
      </c>
      <c r="L404" s="14" t="str">
        <f>IFERROR(__xludf.DUMMYFUNCTION("""COMPUTED_VALUE"""),"https://masterplan.com/courses/mit-webex-online-meetings-meistern-die-basics")</f>
        <v>https://masterplan.com/courses/mit-webex-online-meetings-meistern-die-basics</v>
      </c>
    </row>
    <row r="405">
      <c r="A405" s="15" t="str">
        <f>IFERROR(__xludf.DUMMYFUNCTION("""COMPUTED_VALUE"""),"Business Writing: 3 Tipps für überzeugende Inhalte")</f>
        <v>Business Writing: 3 Tipps für überzeugende Inhalte</v>
      </c>
      <c r="B405" s="16" t="str">
        <f>IFERROR(__xludf.DUMMYFUNCTION("""COMPUTED_VALUE"""),"Business Writing: 3 Tips for Persuasive Content")</f>
        <v>Business Writing: 3 Tips for Persuasive Content</v>
      </c>
      <c r="C405" s="17" t="str">
        <f>IFERROR(__xludf.DUMMYFUNCTION("""COMPUTED_VALUE"""),"Tippfehler sind ein absolutes No-go! Was solltest du beim Schreiben einer E-Mail, eines Reportings oder einer Notiz außerdem beachten? Sei dir über die Macht des geschriebenen Wortes bewusst! Lerne, wie du deine Schreibfertigkeiten gekonnt einsetzt, um zu"&amp;" überzeugen!")</f>
        <v>Tippfehler sind ein absolutes No-go! Was solltest du beim Schreiben einer E-Mail, eines Reportings oder einer Notiz außerdem beachten? Sei dir über die Macht des geschriebenen Wortes bewusst! Lerne, wie du deine Schreibfertigkeiten gekonnt einsetzt, um zu überzeugen!</v>
      </c>
      <c r="D405" s="17" t="str">
        <f>IFERROR(__xludf.DUMMYFUNCTION("""COMPUTED_VALUE"""),"Of course, typos are an absolute no-go! But what else should you consider when it comes to writing emails, reports, or even a short memo? Let's find out how you can persuade your boss or your colleagues through the written word!")</f>
        <v>Of course, typos are an absolute no-go! But what else should you consider when it comes to writing emails, reports, or even a short memo? Let's find out how you can persuade your boss or your colleagues through the written word!</v>
      </c>
      <c r="E405" s="28" t="str">
        <f>IFERROR(__xludf.DUMMYFUNCTION("""COMPUTED_VALUE"""),"Communication")</f>
        <v>Communication</v>
      </c>
      <c r="F405" s="19" t="str">
        <f>IFERROR(__xludf.DUMMYFUNCTION("""COMPUTED_VALUE"""),"Complexly - Crash Course")</f>
        <v>Complexly - Crash Course</v>
      </c>
      <c r="G405" s="20">
        <f>IFERROR(__xludf.DUMMYFUNCTION("""COMPUTED_VALUE"""),13.0)</f>
        <v>13</v>
      </c>
      <c r="H405" s="20">
        <f>IFERROR(__xludf.DUMMYFUNCTION("""COMPUTED_VALUE"""),4.0)</f>
        <v>4</v>
      </c>
      <c r="I405" s="21" t="str">
        <f>IFERROR(__xludf.DUMMYFUNCTION("""COMPUTED_VALUE"""),"English, German")</f>
        <v>English, German</v>
      </c>
      <c r="J405" s="21" t="str">
        <f>IFERROR(__xludf.DUMMYFUNCTION("""COMPUTED_VALUE"""),"English")</f>
        <v>English</v>
      </c>
      <c r="K405" s="22">
        <f>IFERROR(__xludf.DUMMYFUNCTION("""COMPUTED_VALUE"""),44645.0)</f>
        <v>44645</v>
      </c>
      <c r="L405" s="23" t="str">
        <f>IFERROR(__xludf.DUMMYFUNCTION("""COMPUTED_VALUE"""),"https://masterplan.com/courses/business-writing-3-tipps-fuer-ueberzeugende-inhalte")</f>
        <v>https://masterplan.com/courses/business-writing-3-tipps-fuer-ueberzeugende-inhalte</v>
      </c>
    </row>
    <row r="406">
      <c r="A406" s="6" t="str">
        <f>IFERROR(__xludf.DUMMYFUNCTION("""COMPUTED_VALUE"""),"Wie KI Menschheitsprobleme löst")</f>
        <v>Wie KI Menschheitsprobleme löst</v>
      </c>
      <c r="B406" s="7" t="str">
        <f>IFERROR(__xludf.DUMMYFUNCTION("""COMPUTED_VALUE"""),"Solving Human Problems with AI")</f>
        <v>Solving Human Problems with AI</v>
      </c>
      <c r="C406" s="8" t="str">
        <f>IFERROR(__xludf.DUMMYFUNCTION("""COMPUTED_VALUE"""),"Macht KI aus uns bessere Menschen? Vier Experten sprechen über verschiedene Anwendungen von KI, die zur Lösung einiger aktueller Probleme beitragen könnten - von Teamleistung über medizinische Daten bis hin zur Verbesserung der psychischen Gesundheit.")</f>
        <v>Macht KI aus uns bessere Menschen? Vier Experten sprechen über verschiedene Anwendungen von KI, die zur Lösung einiger aktueller Probleme beitragen könnten - von Teamleistung über medizinische Daten bis hin zur Verbesserung der psychischen Gesundheit.</v>
      </c>
      <c r="D406" s="8" t="str">
        <f>IFERROR(__xludf.DUMMYFUNCTION("""COMPUTED_VALUE"""),"How can AI help us be better humans? In this course, you'll hear from four experts about different applications of AI that could help solve some of today's most pressing concerns, from group performance to medical data to improving our own mental health.")</f>
        <v>How can AI help us be better humans? In this course, you'll hear from four experts about different applications of AI that could help solve some of today's most pressing concerns, from group performance to medical data to improving our own mental health.</v>
      </c>
      <c r="E406" s="25" t="str">
        <f>IFERROR(__xludf.DUMMYFUNCTION("""COMPUTED_VALUE"""),"Digital Literacy")</f>
        <v>Digital Literacy</v>
      </c>
      <c r="F406" s="10" t="str">
        <f>IFERROR(__xludf.DUMMYFUNCTION("""COMPUTED_VALUE"""),"World Economic Forum")</f>
        <v>World Economic Forum</v>
      </c>
      <c r="G406" s="11">
        <f>IFERROR(__xludf.DUMMYFUNCTION("""COMPUTED_VALUE"""),20.0)</f>
        <v>20</v>
      </c>
      <c r="H406" s="11">
        <f>IFERROR(__xludf.DUMMYFUNCTION("""COMPUTED_VALUE"""),8.0)</f>
        <v>8</v>
      </c>
      <c r="I406" s="12" t="str">
        <f>IFERROR(__xludf.DUMMYFUNCTION("""COMPUTED_VALUE"""),"English, German")</f>
        <v>English, German</v>
      </c>
      <c r="J406" s="12" t="str">
        <f>IFERROR(__xludf.DUMMYFUNCTION("""COMPUTED_VALUE"""),"English")</f>
        <v>English</v>
      </c>
      <c r="K406" s="13">
        <f>IFERROR(__xludf.DUMMYFUNCTION("""COMPUTED_VALUE"""),44643.0)</f>
        <v>44643</v>
      </c>
      <c r="L406" s="14" t="str">
        <f>IFERROR(__xludf.DUMMYFUNCTION("""COMPUTED_VALUE"""),"https://masterplan.com/courses/wie-ki-menschheitsprobleme-loest")</f>
        <v>https://masterplan.com/courses/wie-ki-menschheitsprobleme-loest</v>
      </c>
    </row>
    <row r="407">
      <c r="A407" s="15" t="str">
        <f>IFERROR(__xludf.DUMMYFUNCTION("""COMPUTED_VALUE"""),"World Economic Forum: Das macht gute Führung aus")</f>
        <v>World Economic Forum: Das macht gute Führung aus</v>
      </c>
      <c r="B407" s="16" t="str">
        <f>IFERROR(__xludf.DUMMYFUNCTION("""COMPUTED_VALUE"""),"Leadership Lessons from the World Economic Forum")</f>
        <v>Leadership Lessons from the World Economic Forum</v>
      </c>
      <c r="C407" s="17" t="str">
        <f>IFERROR(__xludf.DUMMYFUNCTION("""COMPUTED_VALUE"""),"Was kann man von einem Rennfahrer, voreingenommenen Professor, Heißluftballonpiloten und einem Athleten in der Arktis über Führung lernen? In diesem Kurs erhältst du portionsweise Expertenwissen über Führung, Scheitern und die Bedeutung der Suche nach Sin"&amp;"n und Zweck.")</f>
        <v>Was kann man von einem Rennfahrer, voreingenommenen Professor, Heißluftballonpiloten und einem Athleten in der Arktis über Führung lernen? In diesem Kurs erhältst du portionsweise Expertenwissen über Führung, Scheitern und die Bedeutung der Suche nach Sinn und Zweck.</v>
      </c>
      <c r="D407" s="17" t="str">
        <f>IFERROR(__xludf.DUMMYFUNCTION("""COMPUTED_VALUE"""),"What can you learn about leadership from a racecar driver, a biased professor, a hot air balloon pilot, and an athlete in the arctic? In this course, you'll hear bite-sized expert lessons on leadership, failure, and the importance of finding a purpose.")</f>
        <v>What can you learn about leadership from a racecar driver, a biased professor, a hot air balloon pilot, and an athlete in the arctic? In this course, you'll hear bite-sized expert lessons on leadership, failure, and the importance of finding a purpose.</v>
      </c>
      <c r="E407" s="26" t="str">
        <f>IFERROR(__xludf.DUMMYFUNCTION("""COMPUTED_VALUE"""),"Collaboration and Leadership")</f>
        <v>Collaboration and Leadership</v>
      </c>
      <c r="F407" s="19" t="str">
        <f>IFERROR(__xludf.DUMMYFUNCTION("""COMPUTED_VALUE"""),"World Economic Forum")</f>
        <v>World Economic Forum</v>
      </c>
      <c r="G407" s="20">
        <f>IFERROR(__xludf.DUMMYFUNCTION("""COMPUTED_VALUE"""),9.0)</f>
        <v>9</v>
      </c>
      <c r="H407" s="20">
        <f>IFERROR(__xludf.DUMMYFUNCTION("""COMPUTED_VALUE"""),4.0)</f>
        <v>4</v>
      </c>
      <c r="I407" s="21" t="str">
        <f>IFERROR(__xludf.DUMMYFUNCTION("""COMPUTED_VALUE"""),"English, German")</f>
        <v>English, German</v>
      </c>
      <c r="J407" s="21" t="str">
        <f>IFERROR(__xludf.DUMMYFUNCTION("""COMPUTED_VALUE"""),"English")</f>
        <v>English</v>
      </c>
      <c r="K407" s="22">
        <f>IFERROR(__xludf.DUMMYFUNCTION("""COMPUTED_VALUE"""),44643.0)</f>
        <v>44643</v>
      </c>
      <c r="L407" s="23" t="str">
        <f>IFERROR(__xludf.DUMMYFUNCTION("""COMPUTED_VALUE"""),"https://masterplan.com/courses/world-economic-forum-das-macht-gute-fuehrung-aus")</f>
        <v>https://masterplan.com/courses/world-economic-forum-das-macht-gute-fuehrung-aus</v>
      </c>
    </row>
    <row r="408">
      <c r="A408" s="6" t="str">
        <f>IFERROR(__xludf.DUMMYFUNCTION("""COMPUTED_VALUE"""),"Die 10 wichtigsten Tech-Erfindungen des letzen Jahrzehnts")</f>
        <v>Die 10 wichtigsten Tech-Erfindungen des letzen Jahrzehnts</v>
      </c>
      <c r="B408" s="7" t="str">
        <f>IFERROR(__xludf.DUMMYFUNCTION("""COMPUTED_VALUE"""),"Top 10 Emerging Technologies of the Last Decade")</f>
        <v>Top 10 Emerging Technologies of the Last Decade</v>
      </c>
      <c r="C408" s="8" t="str">
        <f>IFERROR(__xludf.DUMMYFUNCTION("""COMPUTED_VALUE"""),"Diese Serie des Weltwirtschaftsforums beinhaltet Interviews mit Expert:innen über die vielversprechendsten und innovativsten Technologien der letzten 10 Jahre. Wie werden soziale Roboter, personalisierte Medizin und vieles mehr unsere Welt verändern?")</f>
        <v>Diese Serie des Weltwirtschaftsforums beinhaltet Interviews mit Expert:innen über die vielversprechendsten und innovativsten Technologien der letzten 10 Jahre. Wie werden soziale Roboter, personalisierte Medizin und vieles mehr unsere Welt verändern?</v>
      </c>
      <c r="D408" s="8" t="str">
        <f>IFERROR(__xludf.DUMMYFUNCTION("""COMPUTED_VALUE"""),"This series from the World Economic Forum features interviews with experts on some of the most promising, innovative, and transformative technologies of the last decade. From social robots to personalized healthcare, how will these emerging technologies s"&amp;"hape our world?")</f>
        <v>This series from the World Economic Forum features interviews with experts on some of the most promising, innovative, and transformative technologies of the last decade. From social robots to personalized healthcare, how will these emerging technologies shape our world?</v>
      </c>
      <c r="E408" s="25" t="str">
        <f>IFERROR(__xludf.DUMMYFUNCTION("""COMPUTED_VALUE"""),"Digital Literacy")</f>
        <v>Digital Literacy</v>
      </c>
      <c r="F408" s="10" t="str">
        <f>IFERROR(__xludf.DUMMYFUNCTION("""COMPUTED_VALUE"""),"World Economic Forum")</f>
        <v>World Economic Forum</v>
      </c>
      <c r="G408" s="11">
        <f>IFERROR(__xludf.DUMMYFUNCTION("""COMPUTED_VALUE"""),114.0)</f>
        <v>114</v>
      </c>
      <c r="H408" s="11">
        <f>IFERROR(__xludf.DUMMYFUNCTION("""COMPUTED_VALUE"""),22.0)</f>
        <v>22</v>
      </c>
      <c r="I408" s="12" t="str">
        <f>IFERROR(__xludf.DUMMYFUNCTION("""COMPUTED_VALUE"""),"English, German")</f>
        <v>English, German</v>
      </c>
      <c r="J408" s="12" t="str">
        <f>IFERROR(__xludf.DUMMYFUNCTION("""COMPUTED_VALUE"""),"English")</f>
        <v>English</v>
      </c>
      <c r="K408" s="13">
        <f>IFERROR(__xludf.DUMMYFUNCTION("""COMPUTED_VALUE"""),44643.0)</f>
        <v>44643</v>
      </c>
      <c r="L408" s="14" t="str">
        <f>IFERROR(__xludf.DUMMYFUNCTION("""COMPUTED_VALUE"""),"https://masterplan.com/courses/die-10-wichtigsten-tech-erfindungen-des-letzen-jahrzehnts")</f>
        <v>https://masterplan.com/courses/die-10-wichtigsten-tech-erfindungen-des-letzen-jahrzehnts</v>
      </c>
    </row>
    <row r="409">
      <c r="A409" s="15" t="str">
        <f>IFERROR(__xludf.DUMMYFUNCTION("""COMPUTED_VALUE"""),"Erste Schritte mit Zoom I: Meetings beitreten &amp; Präsentieren")</f>
        <v>Erste Schritte mit Zoom I: Meetings beitreten &amp; Präsentieren</v>
      </c>
      <c r="B409" s="16" t="str">
        <f>IFERROR(__xludf.DUMMYFUNCTION("""COMPUTED_VALUE"""),"n.a.")</f>
        <v>n.a.</v>
      </c>
      <c r="C409" s="17" t="str">
        <f>IFERROR(__xludf.DUMMYFUNCTION("""COMPUTED_VALUE"""),"Du wurdest zu einem Zoom-Meeting eingeladen oder willst in Zoom eine Präsentation halten, hast aber kaum Erfahrung mit der Software? Keine Sorge, in diesem Kurs lernst du alles über Zoom von Grund auf. Obendrauf gibt's noch Tipps für Interaktionen über di"&amp;"e App.")</f>
        <v>Du wurdest zu einem Zoom-Meeting eingeladen oder willst in Zoom eine Präsentation halten, hast aber kaum Erfahrung mit der Software? Keine Sorge, in diesem Kurs lernst du alles über Zoom von Grund auf. Obendrauf gibt's noch Tipps für Interaktionen über die App.</v>
      </c>
      <c r="D409" s="17" t="str">
        <f>IFERROR(__xludf.DUMMYFUNCTION("""COMPUTED_VALUE"""),"n.a.")</f>
        <v>n.a.</v>
      </c>
      <c r="E409" s="28" t="str">
        <f>IFERROR(__xludf.DUMMYFUNCTION("""COMPUTED_VALUE"""),"Communication")</f>
        <v>Communication</v>
      </c>
      <c r="F409" s="19" t="str">
        <f>IFERROR(__xludf.DUMMYFUNCTION("""COMPUTED_VALUE"""),"Erwachsenenbildung.digital")</f>
        <v>Erwachsenenbildung.digital</v>
      </c>
      <c r="G409" s="20">
        <f>IFERROR(__xludf.DUMMYFUNCTION("""COMPUTED_VALUE"""),45.0)</f>
        <v>45</v>
      </c>
      <c r="H409" s="20">
        <f>IFERROR(__xludf.DUMMYFUNCTION("""COMPUTED_VALUE"""),27.0)</f>
        <v>27</v>
      </c>
      <c r="I409" s="21" t="str">
        <f>IFERROR(__xludf.DUMMYFUNCTION("""COMPUTED_VALUE"""),"German")</f>
        <v>German</v>
      </c>
      <c r="J409" s="21" t="str">
        <f>IFERROR(__xludf.DUMMYFUNCTION("""COMPUTED_VALUE"""),"German")</f>
        <v>German</v>
      </c>
      <c r="K409" s="22">
        <f>IFERROR(__xludf.DUMMYFUNCTION("""COMPUTED_VALUE"""),44641.0)</f>
        <v>44641</v>
      </c>
      <c r="L409" s="23" t="str">
        <f>IFERROR(__xludf.DUMMYFUNCTION("""COMPUTED_VALUE"""),"https://masterplan.com/courses/erste-schritte-mit-zoom-i-meetings-beitreten-und-prasentieren")</f>
        <v>https://masterplan.com/courses/erste-schritte-mit-zoom-i-meetings-beitreten-und-prasentieren</v>
      </c>
    </row>
    <row r="410">
      <c r="A410" s="6" t="str">
        <f>IFERROR(__xludf.DUMMYFUNCTION("""COMPUTED_VALUE"""),"Entscheidungsfindung im Team: Das Konsensprinzip")</f>
        <v>Entscheidungsfindung im Team: Das Konsensprinzip</v>
      </c>
      <c r="B410" s="7" t="str">
        <f>IFERROR(__xludf.DUMMYFUNCTION("""COMPUTED_VALUE"""),"Effective Teams Strive for Consensus")</f>
        <v>Effective Teams Strive for Consensus</v>
      </c>
      <c r="C410" s="8" t="str">
        <f>IFERROR(__xludf.DUMMYFUNCTION("""COMPUTED_VALUE"""),"Beziehst du dein Team bei Entscheidungsfragen mit ein? Gemeinsam im Konsens getroffene Entscheidungen sind die Grundvoraussetzung für ein glückliches und zufriedenes Team. Doch wie lässt sich ein Konsens erreichen? Wir geben dir eine bewährte Methode an d"&amp;"ie Hand!")</f>
        <v>Beziehst du dein Team bei Entscheidungsfragen mit ein? Gemeinsam im Konsens getroffene Entscheidungen sind die Grundvoraussetzung für ein glückliches und zufriedenes Team. Doch wie lässt sich ein Konsens erreichen? Wir geben dir eine bewährte Methode an die Hand!</v>
      </c>
      <c r="D410" s="8" t="str">
        <f>IFERROR(__xludf.DUMMYFUNCTION("""COMPUTED_VALUE"""),"Do you make decisions on your own or do you involve your team? Let us tell you: Decision-making by consensus is what you should aim for! Get to know an easy method that helps you to make everyone happy when it comes to decision-making.")</f>
        <v>Do you make decisions on your own or do you involve your team? Let us tell you: Decision-making by consensus is what you should aim for! Get to know an easy method that helps you to make everyone happy when it comes to decision-making.</v>
      </c>
      <c r="E410" s="29" t="str">
        <f>IFERROR(__xludf.DUMMYFUNCTION("""COMPUTED_VALUE"""),"Thinking and Deciding Clearly")</f>
        <v>Thinking and Deciding Clearly</v>
      </c>
      <c r="F410" s="10" t="str">
        <f>IFERROR(__xludf.DUMMYFUNCTION("""COMPUTED_VALUE"""),"Seeds for Change")</f>
        <v>Seeds for Change</v>
      </c>
      <c r="G410" s="11">
        <f>IFERROR(__xludf.DUMMYFUNCTION("""COMPUTED_VALUE"""),9.0)</f>
        <v>9</v>
      </c>
      <c r="H410" s="11">
        <f>IFERROR(__xludf.DUMMYFUNCTION("""COMPUTED_VALUE"""),10.0)</f>
        <v>10</v>
      </c>
      <c r="I410" s="12" t="str">
        <f>IFERROR(__xludf.DUMMYFUNCTION("""COMPUTED_VALUE"""),"English, German")</f>
        <v>English, German</v>
      </c>
      <c r="J410" s="12" t="str">
        <f>IFERROR(__xludf.DUMMYFUNCTION("""COMPUTED_VALUE"""),"English")</f>
        <v>English</v>
      </c>
      <c r="K410" s="13">
        <f>IFERROR(__xludf.DUMMYFUNCTION("""COMPUTED_VALUE"""),44638.0)</f>
        <v>44638</v>
      </c>
      <c r="L410" s="14" t="str">
        <f>IFERROR(__xludf.DUMMYFUNCTION("""COMPUTED_VALUE"""),"https://masterplan.com/courses/entscheidungsfindung-im-team-das-konsensprinzip")</f>
        <v>https://masterplan.com/courses/entscheidungsfindung-im-team-das-konsensprinzip</v>
      </c>
    </row>
    <row r="411">
      <c r="A411" s="15" t="str">
        <f>IFERROR(__xludf.DUMMYFUNCTION("""COMPUTED_VALUE"""),"Licht, Kamera, Action: Online souverän auftreten")</f>
        <v>Licht, Kamera, Action: Online souverän auftreten</v>
      </c>
      <c r="B411" s="16" t="str">
        <f>IFERROR(__xludf.DUMMYFUNCTION("""COMPUTED_VALUE"""),"n.a.")</f>
        <v>n.a.</v>
      </c>
      <c r="C411" s="17" t="str">
        <f>IFERROR(__xludf.DUMMYFUNCTION("""COMPUTED_VALUE"""),"Denk mal an dein letztes Online-Meeting zurück: Wie oft hast du während der Videokonferenz nur die Stirn deines Kollegen gesehen? Doch mit ein paar einfachen Tipps lassen sich diese Szenen vermeiden. Nach diesem Kurs steht einem souveränen Onlineauftritt "&amp;"nichts im Weg!")</f>
        <v>Denk mal an dein letztes Online-Meeting zurück: Wie oft hast du während der Videokonferenz nur die Stirn deines Kollegen gesehen? Doch mit ein paar einfachen Tipps lassen sich diese Szenen vermeiden. Nach diesem Kurs steht einem souveränen Onlineauftritt nichts im Weg!</v>
      </c>
      <c r="D411" s="17" t="str">
        <f>IFERROR(__xludf.DUMMYFUNCTION("""COMPUTED_VALUE"""),"n.a.")</f>
        <v>n.a.</v>
      </c>
      <c r="E411" s="28" t="str">
        <f>IFERROR(__xludf.DUMMYFUNCTION("""COMPUTED_VALUE"""),"Communication")</f>
        <v>Communication</v>
      </c>
      <c r="F411" s="19" t="str">
        <f>IFERROR(__xludf.DUMMYFUNCTION("""COMPUTED_VALUE"""),"Erwachsenenbildung.digital")</f>
        <v>Erwachsenenbildung.digital</v>
      </c>
      <c r="G411" s="20">
        <f>IFERROR(__xludf.DUMMYFUNCTION("""COMPUTED_VALUE"""),19.0)</f>
        <v>19</v>
      </c>
      <c r="H411" s="20">
        <f>IFERROR(__xludf.DUMMYFUNCTION("""COMPUTED_VALUE"""),12.0)</f>
        <v>12</v>
      </c>
      <c r="I411" s="21" t="str">
        <f>IFERROR(__xludf.DUMMYFUNCTION("""COMPUTED_VALUE"""),"German")</f>
        <v>German</v>
      </c>
      <c r="J411" s="21" t="str">
        <f>IFERROR(__xludf.DUMMYFUNCTION("""COMPUTED_VALUE"""),"German")</f>
        <v>German</v>
      </c>
      <c r="K411" s="22">
        <f>IFERROR(__xludf.DUMMYFUNCTION("""COMPUTED_VALUE"""),44638.0)</f>
        <v>44638</v>
      </c>
      <c r="L411" s="23" t="str">
        <f>IFERROR(__xludf.DUMMYFUNCTION("""COMPUTED_VALUE"""),"https://masterplan.com/courses/licht-kamera-action-online-souveraen-auftreten")</f>
        <v>https://masterplan.com/courses/licht-kamera-action-online-souveraen-auftreten</v>
      </c>
    </row>
    <row r="412">
      <c r="A412" s="6" t="str">
        <f>IFERROR(__xludf.DUMMYFUNCTION("""COMPUTED_VALUE"""),"User Research: Die Vorteile der Nutzerforschung")</f>
        <v>User Research: Die Vorteile der Nutzerforschung</v>
      </c>
      <c r="B412" s="7" t="str">
        <f>IFERROR(__xludf.DUMMYFUNCTION("""COMPUTED_VALUE"""),"What Makes User Research Worth It")</f>
        <v>What Makes User Research Worth It</v>
      </c>
      <c r="C412" s="8" t="str">
        <f>IFERROR(__xludf.DUMMYFUNCTION("""COMPUTED_VALUE"""),"Ob du ein Produkt entwickelst oder mehr über Kund:innen erfahren willst, mit einer effektiven Forschungsstrategie zum Nutzerverhalten gewinnst du Einsichten, die den Prozess vorantreiben. In diesem Kurs von AJ&amp;Smart werden alle wichtigen Fragen dazu geklä"&amp;"rt.")</f>
        <v>Ob du ein Produkt entwickelst oder mehr über Kund:innen erfahren willst, mit einer effektiven Forschungsstrategie zum Nutzerverhalten gewinnst du Einsichten, die den Prozess vorantreiben. In diesem Kurs von AJ&amp;Smart werden alle wichtigen Fragen dazu geklärt.</v>
      </c>
      <c r="D412" s="8" t="str">
        <f>IFERROR(__xludf.DUMMYFUNCTION("""COMPUTED_VALUE"""),"Whether you're designing a product for a company or you just want to learn more about your customers, an effective user research strategy can bring great insights to your design process. In this course from AJ&amp;Smart, you'll learn what questions you need t"&amp;"o be asking.")</f>
        <v>Whether you're designing a product for a company or you just want to learn more about your customers, an effective user research strategy can bring great insights to your design process. In this course from AJ&amp;Smart, you'll learn what questions you need to be asking.</v>
      </c>
      <c r="E412" s="18" t="str">
        <f>IFERROR(__xludf.DUMMYFUNCTION("""COMPUTED_VALUE"""),"Creativity and Innovation")</f>
        <v>Creativity and Innovation</v>
      </c>
      <c r="F412" s="10" t="str">
        <f>IFERROR(__xludf.DUMMYFUNCTION("""COMPUTED_VALUE"""),"AJ&amp;Smart")</f>
        <v>AJ&amp;Smart</v>
      </c>
      <c r="G412" s="11">
        <f>IFERROR(__xludf.DUMMYFUNCTION("""COMPUTED_VALUE"""),22.0)</f>
        <v>22</v>
      </c>
      <c r="H412" s="11">
        <f>IFERROR(__xludf.DUMMYFUNCTION("""COMPUTED_VALUE"""),10.0)</f>
        <v>10</v>
      </c>
      <c r="I412" s="12" t="str">
        <f>IFERROR(__xludf.DUMMYFUNCTION("""COMPUTED_VALUE"""),"English, German")</f>
        <v>English, German</v>
      </c>
      <c r="J412" s="12" t="str">
        <f>IFERROR(__xludf.DUMMYFUNCTION("""COMPUTED_VALUE"""),"English")</f>
        <v>English</v>
      </c>
      <c r="K412" s="13">
        <f>IFERROR(__xludf.DUMMYFUNCTION("""COMPUTED_VALUE"""),44635.0)</f>
        <v>44635</v>
      </c>
      <c r="L412" s="14" t="str">
        <f>IFERROR(__xludf.DUMMYFUNCTION("""COMPUTED_VALUE"""),"https://masterplan.com/courses/user-research-die-vorteile-der-nutzerforschung")</f>
        <v>https://masterplan.com/courses/user-research-die-vorteile-der-nutzerforschung</v>
      </c>
    </row>
    <row r="413">
      <c r="A413" s="15" t="str">
        <f>IFERROR(__xludf.DUMMYFUNCTION("""COMPUTED_VALUE"""),"Wie Workshop-Moderation dein Arbeitsleben verändert")</f>
        <v>Wie Workshop-Moderation dein Arbeitsleben verändert</v>
      </c>
      <c r="B413" s="16" t="str">
        <f>IFERROR(__xludf.DUMMYFUNCTION("""COMPUTED_VALUE"""),"Transform Your Career With Workshop Facilitation")</f>
        <v>Transform Your Career With Workshop Facilitation</v>
      </c>
      <c r="C413" s="17" t="str">
        <f>IFERROR(__xludf.DUMMYFUNCTION("""COMPUTED_VALUE"""),"Moderieren heißt nicht, den Erzählstein reihum zu geben! Was aber sind die Grundlagen für eine wirklich gute Moderation? Moderationskompetenz ist eine der gefragtesten Fähigkeiten – sie hilft dir, ineffiziente Meetings effizient für dich und dein Team zu "&amp;"gestalten.")</f>
        <v>Moderieren heißt nicht, den Erzählstein reihum zu geben! Was aber sind die Grundlagen für eine wirklich gute Moderation? Moderationskompetenz ist eine der gefragtesten Fähigkeiten – sie hilft dir, ineffiziente Meetings effizient für dich und dein Team zu gestalten.</v>
      </c>
      <c r="D413" s="17" t="str">
        <f>IFERROR(__xludf.DUMMYFUNCTION("""COMPUTED_VALUE"""),"Facilitation is one of the most in-demand skills in every field. Here you'll learn how facilitation turns inefficient meetings into structured workshops that can help guide you, your team, and your career towards more effective and efficient solutions.")</f>
        <v>Facilitation is one of the most in-demand skills in every field. Here you'll learn how facilitation turns inefficient meetings into structured workshops that can help guide you, your team, and your career towards more effective and efficient solutions.</v>
      </c>
      <c r="E413" s="28" t="str">
        <f>IFERROR(__xludf.DUMMYFUNCTION("""COMPUTED_VALUE"""),"Communication")</f>
        <v>Communication</v>
      </c>
      <c r="F413" s="19" t="str">
        <f>IFERROR(__xludf.DUMMYFUNCTION("""COMPUTED_VALUE"""),"AJ&amp;Smart")</f>
        <v>AJ&amp;Smart</v>
      </c>
      <c r="G413" s="20">
        <f>IFERROR(__xludf.DUMMYFUNCTION("""COMPUTED_VALUE"""),17.0)</f>
        <v>17</v>
      </c>
      <c r="H413" s="20">
        <f>IFERROR(__xludf.DUMMYFUNCTION("""COMPUTED_VALUE"""),15.0)</f>
        <v>15</v>
      </c>
      <c r="I413" s="21" t="str">
        <f>IFERROR(__xludf.DUMMYFUNCTION("""COMPUTED_VALUE"""),"English, German")</f>
        <v>English, German</v>
      </c>
      <c r="J413" s="21" t="str">
        <f>IFERROR(__xludf.DUMMYFUNCTION("""COMPUTED_VALUE"""),"English")</f>
        <v>English</v>
      </c>
      <c r="K413" s="22">
        <f>IFERROR(__xludf.DUMMYFUNCTION("""COMPUTED_VALUE"""),44621.0)</f>
        <v>44621</v>
      </c>
      <c r="L413" s="23" t="str">
        <f>IFERROR(__xludf.DUMMYFUNCTION("""COMPUTED_VALUE"""),"https://masterplan.com/courses/wie-workshop-moderation-dein-arbeitsleben-verandert")</f>
        <v>https://masterplan.com/courses/wie-workshop-moderation-dein-arbeitsleben-verandert</v>
      </c>
    </row>
    <row r="414">
      <c r="A414" s="6" t="str">
        <f>IFERROR(__xludf.DUMMYFUNCTION("""COMPUTED_VALUE"""),"12 Website-Architektur Tipps für SEO")</f>
        <v>12 Website-Architektur Tipps für SEO</v>
      </c>
      <c r="B414" s="7" t="str">
        <f>IFERROR(__xludf.DUMMYFUNCTION("""COMPUTED_VALUE"""),"n.a.")</f>
        <v>n.a.</v>
      </c>
      <c r="C414" s="8" t="str">
        <f>IFERROR(__xludf.DUMMYFUNCTION("""COMPUTED_VALUE"""),"Strukturiert gut aufgebaute Webseiten werden von Google mit besseren Rankings belohnt. Von der Hauptnavigation bis zum Footer – wir geben dir 12 starke SEO-Tipps an die Hand, die dir dabei helfen, deinen Traffic zu steigern und die User Experience zu verb"&amp;"essern.")</f>
        <v>Strukturiert gut aufgebaute Webseiten werden von Google mit besseren Rankings belohnt. Von der Hauptnavigation bis zum Footer – wir geben dir 12 starke SEO-Tipps an die Hand, die dir dabei helfen, deinen Traffic zu steigern und die User Experience zu verbessern.</v>
      </c>
      <c r="D414" s="8" t="str">
        <f>IFERROR(__xludf.DUMMYFUNCTION("""COMPUTED_VALUE"""),"n.a.")</f>
        <v>n.a.</v>
      </c>
      <c r="E414" s="9" t="str">
        <f>IFERROR(__xludf.DUMMYFUNCTION("""COMPUTED_VALUE"""),"Global Citizenship")</f>
        <v>Global Citizenship</v>
      </c>
      <c r="F414" s="10" t="str">
        <f>IFERROR(__xludf.DUMMYFUNCTION("""COMPUTED_VALUE"""),"Evergreen Media - Alexander Rus")</f>
        <v>Evergreen Media - Alexander Rus</v>
      </c>
      <c r="G414" s="11">
        <f>IFERROR(__xludf.DUMMYFUNCTION("""COMPUTED_VALUE"""),28.0)</f>
        <v>28</v>
      </c>
      <c r="H414" s="11">
        <f>IFERROR(__xludf.DUMMYFUNCTION("""COMPUTED_VALUE"""),23.0)</f>
        <v>23</v>
      </c>
      <c r="I414" s="12" t="str">
        <f>IFERROR(__xludf.DUMMYFUNCTION("""COMPUTED_VALUE"""),"German")</f>
        <v>German</v>
      </c>
      <c r="J414" s="12" t="str">
        <f>IFERROR(__xludf.DUMMYFUNCTION("""COMPUTED_VALUE"""),"German")</f>
        <v>German</v>
      </c>
      <c r="K414" s="13">
        <f>IFERROR(__xludf.DUMMYFUNCTION("""COMPUTED_VALUE"""),44620.0)</f>
        <v>44620</v>
      </c>
      <c r="L414" s="14" t="str">
        <f>IFERROR(__xludf.DUMMYFUNCTION("""COMPUTED_VALUE"""),"https://masterplan.com/courses/12-website-architektur-tipps-fur-seo")</f>
        <v>https://masterplan.com/courses/12-website-architektur-tipps-fur-seo</v>
      </c>
    </row>
    <row r="415">
      <c r="A415" s="15" t="str">
        <f>IFERROR(__xludf.DUMMYFUNCTION("""COMPUTED_VALUE"""),"Keyword-Recherche: So findest du die richtigen Keywords!")</f>
        <v>Keyword-Recherche: So findest du die richtigen Keywords!</v>
      </c>
      <c r="B415" s="16" t="str">
        <f>IFERROR(__xludf.DUMMYFUNCTION("""COMPUTED_VALUE"""),"n.a.")</f>
        <v>n.a.</v>
      </c>
      <c r="C415" s="17" t="str">
        <f>IFERROR(__xludf.DUMMYFUNCTION("""COMPUTED_VALUE"""),"Mit den richtigen Keywords kannst du mit deiner Website ganz oben bei Google erscheinen. Doch wie findest du die richtigen Keywords? Wie kann so eine Keyword-Recherche aussehen? In diesem ausführlichen Vortrag erfährst du alles, was du über Keywords wisse"&amp;"n musst!")</f>
        <v>Mit den richtigen Keywords kannst du mit deiner Website ganz oben bei Google erscheinen. Doch wie findest du die richtigen Keywords? Wie kann so eine Keyword-Recherche aussehen? In diesem ausführlichen Vortrag erfährst du alles, was du über Keywords wissen musst!</v>
      </c>
      <c r="D415" s="17" t="str">
        <f>IFERROR(__xludf.DUMMYFUNCTION("""COMPUTED_VALUE"""),"n.a.")</f>
        <v>n.a.</v>
      </c>
      <c r="E415" s="9" t="str">
        <f>IFERROR(__xludf.DUMMYFUNCTION("""COMPUTED_VALUE"""),"Global Citizenship")</f>
        <v>Global Citizenship</v>
      </c>
      <c r="F415" s="19" t="str">
        <f>IFERROR(__xludf.DUMMYFUNCTION("""COMPUTED_VALUE"""),"Evergreen Media - Alexander Rus")</f>
        <v>Evergreen Media - Alexander Rus</v>
      </c>
      <c r="G415" s="20">
        <f>IFERROR(__xludf.DUMMYFUNCTION("""COMPUTED_VALUE"""),93.0)</f>
        <v>93</v>
      </c>
      <c r="H415" s="20">
        <f>IFERROR(__xludf.DUMMYFUNCTION("""COMPUTED_VALUE"""),34.0)</f>
        <v>34</v>
      </c>
      <c r="I415" s="21" t="str">
        <f>IFERROR(__xludf.DUMMYFUNCTION("""COMPUTED_VALUE"""),"German")</f>
        <v>German</v>
      </c>
      <c r="J415" s="21" t="str">
        <f>IFERROR(__xludf.DUMMYFUNCTION("""COMPUTED_VALUE"""),"German")</f>
        <v>German</v>
      </c>
      <c r="K415" s="22">
        <f>IFERROR(__xludf.DUMMYFUNCTION("""COMPUTED_VALUE"""),44620.0)</f>
        <v>44620</v>
      </c>
      <c r="L415" s="23" t="str">
        <f>IFERROR(__xludf.DUMMYFUNCTION("""COMPUTED_VALUE"""),"https://masterplan.com/courses/keyword-recherche")</f>
        <v>https://masterplan.com/courses/keyword-recherche</v>
      </c>
    </row>
    <row r="416">
      <c r="A416" s="6" t="str">
        <f>IFERROR(__xludf.DUMMYFUNCTION("""COMPUTED_VALUE"""),"Design Thinking leicht gemacht")</f>
        <v>Design Thinking leicht gemacht</v>
      </c>
      <c r="B416" s="7" t="str">
        <f>IFERROR(__xludf.DUMMYFUNCTION("""COMPUTED_VALUE"""),"Design Thinking Made Easy")</f>
        <v>Design Thinking Made Easy</v>
      </c>
      <c r="C416" s="8" t="str">
        <f>IFERROR(__xludf.DUMMYFUNCTION("""COMPUTED_VALUE"""),"Es gibt viele Tools, die du zur Entwicklung innovativer Produktideen einsetzen kannst, aber nur wenige sind besser als Design Thinking. In diesem Kurs erhältst du einen Überblick über Design Thinking, wie es funktioniert und warum es so wichtig für Innova"&amp;"tion ist.")</f>
        <v>Es gibt viele Tools, die du zur Entwicklung innovativer Produktideen einsetzen kannst, aber nur wenige sind besser als Design Thinking. In diesem Kurs erhältst du einen Überblick über Design Thinking, wie es funktioniert und warum es so wichtig für Innovation ist.</v>
      </c>
      <c r="D416" s="8" t="str">
        <f>IFERROR(__xludf.DUMMYFUNCTION("""COMPUTED_VALUE"""),"There are many tools you could use to generate innovative product ideas, but few are better than Design Thinking. In this course, you'll get an overview of Design Thinking, how its different steps work together, and why they're so important for innovation"&amp;".")</f>
        <v>There are many tools you could use to generate innovative product ideas, but few are better than Design Thinking. In this course, you'll get an overview of Design Thinking, how its different steps work together, and why they're so important for innovation.</v>
      </c>
      <c r="E416" s="18" t="str">
        <f>IFERROR(__xludf.DUMMYFUNCTION("""COMPUTED_VALUE"""),"Creativity and Innovation")</f>
        <v>Creativity and Innovation</v>
      </c>
      <c r="F416" s="10" t="str">
        <f>IFERROR(__xludf.DUMMYFUNCTION("""COMPUTED_VALUE"""),"AJ&amp;Smart")</f>
        <v>AJ&amp;Smart</v>
      </c>
      <c r="G416" s="11">
        <f>IFERROR(__xludf.DUMMYFUNCTION("""COMPUTED_VALUE"""),11.0)</f>
        <v>11</v>
      </c>
      <c r="H416" s="11">
        <f>IFERROR(__xludf.DUMMYFUNCTION("""COMPUTED_VALUE"""),9.0)</f>
        <v>9</v>
      </c>
      <c r="I416" s="12" t="str">
        <f>IFERROR(__xludf.DUMMYFUNCTION("""COMPUTED_VALUE"""),"English, German")</f>
        <v>English, German</v>
      </c>
      <c r="J416" s="12" t="str">
        <f>IFERROR(__xludf.DUMMYFUNCTION("""COMPUTED_VALUE"""),"English")</f>
        <v>English</v>
      </c>
      <c r="K416" s="13">
        <f>IFERROR(__xludf.DUMMYFUNCTION("""COMPUTED_VALUE"""),44620.0)</f>
        <v>44620</v>
      </c>
      <c r="L416" s="14" t="str">
        <f>IFERROR(__xludf.DUMMYFUNCTION("""COMPUTED_VALUE"""),"https://masterplan.com/courses/design-thinking-leicht-gemacht")</f>
        <v>https://masterplan.com/courses/design-thinking-leicht-gemacht</v>
      </c>
    </row>
    <row r="417">
      <c r="A417" s="15" t="str">
        <f>IFERROR(__xludf.DUMMYFUNCTION("""COMPUTED_VALUE"""),"Verrückte neue Arbeitswelt")</f>
        <v>Verrückte neue Arbeitswelt</v>
      </c>
      <c r="B417" s="16" t="str">
        <f>IFERROR(__xludf.DUMMYFUNCTION("""COMPUTED_VALUE"""),"n.a.")</f>
        <v>n.a.</v>
      </c>
      <c r="C417" s="17" t="str">
        <f>IFERROR(__xludf.DUMMYFUNCTION("""COMPUTED_VALUE"""),"Von Teamwork über eine starke Meeting-Kultur bis hin zu Stressmanagement und einem gesunden Mindset – dieser Podcast wartet mit einem großen Unterhaltungswert und vielen spannende Themen auf dich. Freue dich auf interessante Interviews und jede Menge Insi"&amp;"der-Wissen.")</f>
        <v>Von Teamwork über eine starke Meeting-Kultur bis hin zu Stressmanagement und einem gesunden Mindset – dieser Podcast wartet mit einem großen Unterhaltungswert und vielen spannende Themen auf dich. Freue dich auf interessante Interviews und jede Menge Insider-Wissen.</v>
      </c>
      <c r="D417" s="17" t="str">
        <f>IFERROR(__xludf.DUMMYFUNCTION("""COMPUTED_VALUE"""),"n.a.")</f>
        <v>n.a.</v>
      </c>
      <c r="E417" s="26" t="str">
        <f>IFERROR(__xludf.DUMMYFUNCTION("""COMPUTED_VALUE"""),"Collaboration and Leadership")</f>
        <v>Collaboration and Leadership</v>
      </c>
      <c r="F417" s="19" t="str">
        <f>IFERROR(__xludf.DUMMYFUNCTION("""COMPUTED_VALUE"""),"New Work SE")</f>
        <v>New Work SE</v>
      </c>
      <c r="G417" s="20">
        <f>IFERROR(__xludf.DUMMYFUNCTION("""COMPUTED_VALUE"""),152.0)</f>
        <v>152</v>
      </c>
      <c r="H417" s="20">
        <f>IFERROR(__xludf.DUMMYFUNCTION("""COMPUTED_VALUE"""),5.0)</f>
        <v>5</v>
      </c>
      <c r="I417" s="21" t="str">
        <f>IFERROR(__xludf.DUMMYFUNCTION("""COMPUTED_VALUE"""),"German")</f>
        <v>German</v>
      </c>
      <c r="J417" s="21" t="str">
        <f>IFERROR(__xludf.DUMMYFUNCTION("""COMPUTED_VALUE"""),"German")</f>
        <v>German</v>
      </c>
      <c r="K417" s="22">
        <f>IFERROR(__xludf.DUMMYFUNCTION("""COMPUTED_VALUE"""),44620.0)</f>
        <v>44620</v>
      </c>
      <c r="L417" s="23" t="str">
        <f>IFERROR(__xludf.DUMMYFUNCTION("""COMPUTED_VALUE"""),"https://masterplan.com/courses/neue-arbeitswelt")</f>
        <v>https://masterplan.com/courses/neue-arbeitswelt</v>
      </c>
    </row>
    <row r="418">
      <c r="A418" s="6" t="str">
        <f>IFERROR(__xludf.DUMMYFUNCTION("""COMPUTED_VALUE"""),"Lightning Decision Jam Workshop")</f>
        <v>Lightning Decision Jam Workshop</v>
      </c>
      <c r="B418" s="7" t="str">
        <f>IFERROR(__xludf.DUMMYFUNCTION("""COMPUTED_VALUE"""),"Lightning Decision Jam Workshop")</f>
        <v>Lightning Decision Jam Workshop</v>
      </c>
      <c r="C418" s="8" t="str">
        <f>IFERROR(__xludf.DUMMYFUNCTION("""COMPUTED_VALUE"""),"Design Thinking – ein Begriff, den du sicher schon mal in der Produktentwicklungsabteilung aufgeschnappt hast. Erhalte von AJ&amp;Smart die perfekte Anleitung, um Design Thinking in deinen Arbeitsalltag zu integrieren. Freuen darfst du dich jetzt schon über t"&amp;"olle Resultate!")</f>
        <v>Design Thinking – ein Begriff, den du sicher schon mal in der Produktentwicklungsabteilung aufgeschnappt hast. Erhalte von AJ&amp;Smart die perfekte Anleitung, um Design Thinking in deinen Arbeitsalltag zu integrieren. Freuen darfst du dich jetzt schon über tolle Resultate!</v>
      </c>
      <c r="D418" s="8" t="str">
        <f>IFERROR(__xludf.DUMMYFUNCTION("""COMPUTED_VALUE"""),"You might've heard the term Design Thinking used by Product Development teams, but how do you put it into practice? The Lightning Design Jam presented by AJ&amp;Smart is the perfect step-by-step guide for turning Design Thinking into actionable results.")</f>
        <v>You might've heard the term Design Thinking used by Product Development teams, but how do you put it into practice? The Lightning Design Jam presented by AJ&amp;Smart is the perfect step-by-step guide for turning Design Thinking into actionable results.</v>
      </c>
      <c r="E418" s="26" t="str">
        <f>IFERROR(__xludf.DUMMYFUNCTION("""COMPUTED_VALUE"""),"Collaboration and Leadership")</f>
        <v>Collaboration and Leadership</v>
      </c>
      <c r="F418" s="10" t="str">
        <f>IFERROR(__xludf.DUMMYFUNCTION("""COMPUTED_VALUE"""),"AJ&amp;Smart")</f>
        <v>AJ&amp;Smart</v>
      </c>
      <c r="G418" s="11">
        <f>IFERROR(__xludf.DUMMYFUNCTION("""COMPUTED_VALUE"""),22.0)</f>
        <v>22</v>
      </c>
      <c r="H418" s="11">
        <f>IFERROR(__xludf.DUMMYFUNCTION("""COMPUTED_VALUE"""),17.0)</f>
        <v>17</v>
      </c>
      <c r="I418" s="12" t="str">
        <f>IFERROR(__xludf.DUMMYFUNCTION("""COMPUTED_VALUE"""),"English, German")</f>
        <v>English, German</v>
      </c>
      <c r="J418" s="12" t="str">
        <f>IFERROR(__xludf.DUMMYFUNCTION("""COMPUTED_VALUE"""),"English")</f>
        <v>English</v>
      </c>
      <c r="K418" s="13">
        <f>IFERROR(__xludf.DUMMYFUNCTION("""COMPUTED_VALUE"""),44618.0)</f>
        <v>44618</v>
      </c>
      <c r="L418" s="14" t="str">
        <f>IFERROR(__xludf.DUMMYFUNCTION("""COMPUTED_VALUE"""),"https://masterplan.com/courses/lightning-decision-jam-workshop")</f>
        <v>https://masterplan.com/courses/lightning-decision-jam-workshop</v>
      </c>
    </row>
    <row r="419">
      <c r="A419" s="15" t="str">
        <f>IFERROR(__xludf.DUMMYFUNCTION("""COMPUTED_VALUE"""),"Fit für die Zukunft – Diese Fähigkeiten helfen dir")</f>
        <v>Fit für die Zukunft – Diese Fähigkeiten helfen dir</v>
      </c>
      <c r="B419" s="16" t="str">
        <f>IFERROR(__xludf.DUMMYFUNCTION("""COMPUTED_VALUE"""),"Future-Proof Your Skills for the Modern World")</f>
        <v>Future-Proof Your Skills for the Modern World</v>
      </c>
      <c r="C419" s="17" t="str">
        <f>IFERROR(__xludf.DUMMYFUNCTION("""COMPUTED_VALUE"""),"Bleibt der Mensch in Zukunft wettbewerbsfähig? Wer gewisse Fähigkeiten beherrscht, definitiv. Welche Fähigkeiten braucht es, um gegen künstliche Intelligenzen zu bestehen? Erfahre, in welchen Bereichen des Lebens du im Gegensatz zu Computern im Vorteil li"&amp;"egst.")</f>
        <v>Bleibt der Mensch in Zukunft wettbewerbsfähig? Wer gewisse Fähigkeiten beherrscht, definitiv. Welche Fähigkeiten braucht es, um gegen künstliche Intelligenzen zu bestehen? Erfahre, in welchen Bereichen des Lebens du im Gegensatz zu Computern im Vorteil liegst.</v>
      </c>
      <c r="D419" s="17" t="str">
        <f>IFERROR(__xludf.DUMMYFUNCTION("""COMPUTED_VALUE"""),"How can you face automation? The answer lies in constant learning. But which skills set you apart in the modern world? David Epstein will tell you how to rage against the machine and what is required to excel in your industry.")</f>
        <v>How can you face automation? The answer lies in constant learning. But which skills set you apart in the modern world? David Epstein will tell you how to rage against the machine and what is required to excel in your industry.</v>
      </c>
      <c r="E419" s="9" t="str">
        <f>IFERROR(__xludf.DUMMYFUNCTION("""COMPUTED_VALUE"""),"Global Citizenship")</f>
        <v>Global Citizenship</v>
      </c>
      <c r="F419" s="19" t="str">
        <f>IFERROR(__xludf.DUMMYFUNCTION("""COMPUTED_VALUE"""),"BigThink - David Epstein")</f>
        <v>BigThink - David Epstein</v>
      </c>
      <c r="G419" s="20">
        <f>IFERROR(__xludf.DUMMYFUNCTION("""COMPUTED_VALUE"""),6.0)</f>
        <v>6</v>
      </c>
      <c r="H419" s="20">
        <f>IFERROR(__xludf.DUMMYFUNCTION("""COMPUTED_VALUE"""),13.0)</f>
        <v>13</v>
      </c>
      <c r="I419" s="21" t="str">
        <f>IFERROR(__xludf.DUMMYFUNCTION("""COMPUTED_VALUE"""),"English, German")</f>
        <v>English, German</v>
      </c>
      <c r="J419" s="21" t="str">
        <f>IFERROR(__xludf.DUMMYFUNCTION("""COMPUTED_VALUE"""),"English")</f>
        <v>English</v>
      </c>
      <c r="K419" s="22">
        <f>IFERROR(__xludf.DUMMYFUNCTION("""COMPUTED_VALUE"""),44617.0)</f>
        <v>44617</v>
      </c>
      <c r="L419" s="23" t="str">
        <f>IFERROR(__xludf.DUMMYFUNCTION("""COMPUTED_VALUE"""),"https://masterplan.com/courses/fit-fuer-die-zukunft")</f>
        <v>https://masterplan.com/courses/fit-fuer-die-zukunft</v>
      </c>
    </row>
    <row r="420">
      <c r="A420" s="6" t="str">
        <f>IFERROR(__xludf.DUMMYFUNCTION("""COMPUTED_VALUE"""),"Menschlichkeit – Das Geheimnis erfolgreicher CEOs")</f>
        <v>Menschlichkeit – Das Geheimnis erfolgreicher CEOs</v>
      </c>
      <c r="B420" s="7" t="str">
        <f>IFERROR(__xludf.DUMMYFUNCTION("""COMPUTED_VALUE"""),"Leading with Humanity – Your key to success")</f>
        <v>Leading with Humanity – Your key to success</v>
      </c>
      <c r="C420" s="8" t="str">
        <f>IFERROR(__xludf.DUMMYFUNCTION("""COMPUTED_VALUE"""),"Was zeichnet erfolgreiche Führungskrafte und eine einzigartige Unternehmenskultur aus? Definiere Erfolg für dich neu und entwickle Führungsqualitäten, die deinem Unternehmen eine Prise Magie einhauchen!")</f>
        <v>Was zeichnet erfolgreiche Führungskrafte und eine einzigartige Unternehmenskultur aus? Definiere Erfolg für dich neu und entwickle Führungsqualitäten, die deinem Unternehmen eine Prise Magie einhauchen!</v>
      </c>
      <c r="D420" s="8" t="str">
        <f>IFERROR(__xludf.DUMMYFUNCTION("""COMPUTED_VALUE"""),"With great power comes great responsibility. How can leaders use that power to inspire their team and their organization as a whole? Starting with defining your ""why"", Simon shows you how to create magic inside your organization by leading with humanity"&amp;".")</f>
        <v>With great power comes great responsibility. How can leaders use that power to inspire their team and their organization as a whole? Starting with defining your "why", Simon shows you how to create magic inside your organization by leading with humanity.</v>
      </c>
      <c r="E420" s="26" t="str">
        <f>IFERROR(__xludf.DUMMYFUNCTION("""COMPUTED_VALUE"""),"Collaboration and Leadership")</f>
        <v>Collaboration and Leadership</v>
      </c>
      <c r="F420" s="10" t="str">
        <f>IFERROR(__xludf.DUMMYFUNCTION("""COMPUTED_VALUE"""),"BigThink - Simon Sinek")</f>
        <v>BigThink - Simon Sinek</v>
      </c>
      <c r="G420" s="11">
        <f>IFERROR(__xludf.DUMMYFUNCTION("""COMPUTED_VALUE"""),32.0)</f>
        <v>32</v>
      </c>
      <c r="H420" s="11">
        <f>IFERROR(__xludf.DUMMYFUNCTION("""COMPUTED_VALUE"""),14.0)</f>
        <v>14</v>
      </c>
      <c r="I420" s="12" t="str">
        <f>IFERROR(__xludf.DUMMYFUNCTION("""COMPUTED_VALUE"""),"English, German")</f>
        <v>English, German</v>
      </c>
      <c r="J420" s="12" t="str">
        <f>IFERROR(__xludf.DUMMYFUNCTION("""COMPUTED_VALUE"""),"English")</f>
        <v>English</v>
      </c>
      <c r="K420" s="13">
        <f>IFERROR(__xludf.DUMMYFUNCTION("""COMPUTED_VALUE"""),44616.0)</f>
        <v>44616</v>
      </c>
      <c r="L420" s="14" t="str">
        <f>IFERROR(__xludf.DUMMYFUNCTION("""COMPUTED_VALUE"""),"https://masterplan.com/courses/geheimnis-erfolgreicher-ceos")</f>
        <v>https://masterplan.com/courses/geheimnis-erfolgreicher-ceos</v>
      </c>
    </row>
    <row r="421">
      <c r="A421" s="15" t="str">
        <f>IFERROR(__xludf.DUMMYFUNCTION("""COMPUTED_VALUE"""),"Wie du Scheitern zulassen kannst")</f>
        <v>Wie du Scheitern zulassen kannst</v>
      </c>
      <c r="B421" s="16" t="str">
        <f>IFERROR(__xludf.DUMMYFUNCTION("""COMPUTED_VALUE"""),"Let People Fail")</f>
        <v>Let People Fail</v>
      </c>
      <c r="C421" s="17" t="str">
        <f>IFERROR(__xludf.DUMMYFUNCTION("""COMPUTED_VALUE"""),"Permanenter Erfolg ist nicht alles! Hast du gewusst, dass Mitarbeitende ruhig mal scheitern dürfen? Lerne die Vorteile des ""produktiven Scheiterns"" kennen. Ein kleiner Spoiler: Wer scheitert, ist für zukünftige Herausforderungen meist besser gewappnet.")</f>
        <v>Permanenter Erfolg ist nicht alles! Hast du gewusst, dass Mitarbeitende ruhig mal scheitern dürfen? Lerne die Vorteile des "produktiven Scheiterns" kennen. Ein kleiner Spoiler: Wer scheitert, ist für zukünftige Herausforderungen meist besser gewappnet.</v>
      </c>
      <c r="D421" s="17" t="str">
        <f>IFERROR(__xludf.DUMMYFUNCTION("""COMPUTED_VALUE"""),"As a manager, your job is about helping your team succeed, but is there any value in letting them fail? In this Quick Take, you'll learn the science behind ""productive failure"" and how it can help equip your people to handle challenges in the future.")</f>
        <v>As a manager, your job is about helping your team succeed, but is there any value in letting them fail? In this Quick Take, you'll learn the science behind "productive failure" and how it can help equip your people to handle challenges in the future.</v>
      </c>
      <c r="E421" s="26" t="str">
        <f>IFERROR(__xludf.DUMMYFUNCTION("""COMPUTED_VALUE"""),"Collaboration and Leadership")</f>
        <v>Collaboration and Leadership</v>
      </c>
      <c r="F421" s="19" t="str">
        <f>IFERROR(__xludf.DUMMYFUNCTION("""COMPUTED_VALUE"""),"Rapid Learning – a bts company")</f>
        <v>Rapid Learning – a bts company</v>
      </c>
      <c r="G421" s="20">
        <f>IFERROR(__xludf.DUMMYFUNCTION("""COMPUTED_VALUE"""),8.0)</f>
        <v>8</v>
      </c>
      <c r="H421" s="20">
        <f>IFERROR(__xludf.DUMMYFUNCTION("""COMPUTED_VALUE"""),4.0)</f>
        <v>4</v>
      </c>
      <c r="I421" s="21" t="str">
        <f>IFERROR(__xludf.DUMMYFUNCTION("""COMPUTED_VALUE"""),"English, German")</f>
        <v>English, German</v>
      </c>
      <c r="J421" s="21" t="str">
        <f>IFERROR(__xludf.DUMMYFUNCTION("""COMPUTED_VALUE"""),"English, German")</f>
        <v>English, German</v>
      </c>
      <c r="K421" s="22">
        <f>IFERROR(__xludf.DUMMYFUNCTION("""COMPUTED_VALUE"""),44616.0)</f>
        <v>44616</v>
      </c>
      <c r="L421" s="23" t="str">
        <f>IFERROR(__xludf.DUMMYFUNCTION("""COMPUTED_VALUE"""),"https://masterplan.com/courses/wie-du-scheitern-zulassen-kannst")</f>
        <v>https://masterplan.com/courses/wie-du-scheitern-zulassen-kannst</v>
      </c>
    </row>
    <row r="422">
      <c r="A422" s="6" t="str">
        <f>IFERROR(__xludf.DUMMYFUNCTION("""COMPUTED_VALUE"""),"Die Wissenschaft des Erfolgs")</f>
        <v>Die Wissenschaft des Erfolgs</v>
      </c>
      <c r="B422" s="7" t="str">
        <f>IFERROR(__xludf.DUMMYFUNCTION("""COMPUTED_VALUE"""),"The Science of Successful Things")</f>
        <v>The Science of Successful Things</v>
      </c>
      <c r="C422" s="8" t="str">
        <f>IFERROR(__xludf.DUMMYFUNCTION("""COMPUTED_VALUE"""),"Wie bringt man ein Produkt zum Erfolg? Warum scheiterte Google Glass und warum ist das iPhone das profitabelste Produkt aller Zeiten? Derek Thompon, der Autor von Hit Makers, gibt uns die Antworten auf diese Fragen.")</f>
        <v>Wie bringt man ein Produkt zum Erfolg? Warum scheiterte Google Glass und warum ist das iPhone das profitabelste Produkt aller Zeiten? Derek Thompon, der Autor von Hit Makers, gibt uns die Antworten auf diese Fragen.</v>
      </c>
      <c r="D422" s="8" t="str">
        <f>IFERROR(__xludf.DUMMYFUNCTION("""COMPUTED_VALUE"""),"How can you make a product successful? Why did Google Glass fail and why is the iPhone the most profitable product in human history? Let's join Derek Thompson the author of Hit Makers to find out about the answers.")</f>
        <v>How can you make a product successful? Why did Google Glass fail and why is the iPhone the most profitable product in human history? Let's join Derek Thompson the author of Hit Makers to find out about the answers.</v>
      </c>
      <c r="E422" s="18" t="str">
        <f>IFERROR(__xludf.DUMMYFUNCTION("""COMPUTED_VALUE"""),"Creativity and Innovation")</f>
        <v>Creativity and Innovation</v>
      </c>
      <c r="F422" s="10" t="str">
        <f>IFERROR(__xludf.DUMMYFUNCTION("""COMPUTED_VALUE"""),"BigThink - Derek Thompson")</f>
        <v>BigThink - Derek Thompson</v>
      </c>
      <c r="G422" s="11">
        <f>IFERROR(__xludf.DUMMYFUNCTION("""COMPUTED_VALUE"""),34.0)</f>
        <v>34</v>
      </c>
      <c r="H422" s="11">
        <f>IFERROR(__xludf.DUMMYFUNCTION("""COMPUTED_VALUE"""),12.0)</f>
        <v>12</v>
      </c>
      <c r="I422" s="12" t="str">
        <f>IFERROR(__xludf.DUMMYFUNCTION("""COMPUTED_VALUE"""),"English, German")</f>
        <v>English, German</v>
      </c>
      <c r="J422" s="12" t="str">
        <f>IFERROR(__xludf.DUMMYFUNCTION("""COMPUTED_VALUE"""),"English")</f>
        <v>English</v>
      </c>
      <c r="K422" s="13">
        <f>IFERROR(__xludf.DUMMYFUNCTION("""COMPUTED_VALUE"""),44616.0)</f>
        <v>44616</v>
      </c>
      <c r="L422" s="14" t="str">
        <f>IFERROR(__xludf.DUMMYFUNCTION("""COMPUTED_VALUE"""),"https://masterplan.com/courses/die-wissenschaft-des-erfolgs")</f>
        <v>https://masterplan.com/courses/die-wissenschaft-des-erfolgs</v>
      </c>
    </row>
    <row r="423">
      <c r="A423" s="15" t="str">
        <f>IFERROR(__xludf.DUMMYFUNCTION("""COMPUTED_VALUE"""),"Mit elastischem Denken Veränderungen meistern")</f>
        <v>Mit elastischem Denken Veränderungen meistern</v>
      </c>
      <c r="B423" s="16" t="str">
        <f>IFERROR(__xludf.DUMMYFUNCTION("""COMPUTED_VALUE"""),"Adapt to Change with Elastic Thinking")</f>
        <v>Adapt to Change with Elastic Thinking</v>
      </c>
      <c r="C423" s="17" t="str">
        <f>IFERROR(__xludf.DUMMYFUNCTION("""COMPUTED_VALUE"""),"Bei Herausforderungen oder Problemen funktioniert unser logisches Denkvermögen nicht immer. Dann können wir uns mit elastischem Denken öffnen und uns an Veränderungen anpassen. In diesem Kurs zeigt dir Leonard Mlodinow die Vorteile des elastischen Denkens"&amp;".")</f>
        <v>Bei Herausforderungen oder Problemen funktioniert unser logisches Denkvermögen nicht immer. Dann können wir uns mit elastischem Denken öffnen und uns an Veränderungen anpassen. In diesem Kurs zeigt dir Leonard Mlodinow die Vorteile des elastischen Denkens.</v>
      </c>
      <c r="D423" s="17" t="str">
        <f>IFERROR(__xludf.DUMMYFUNCTION("""COMPUTED_VALUE"""),"When we have a challenge in life or an issue, our logical thinking doesn't always work. During these moments elastic thinking can help opening yourself to new ideas and adapt to change. In this course, Leonard Mlodinow shares the benefits of elastic think"&amp;"ing.")</f>
        <v>When we have a challenge in life or an issue, our logical thinking doesn't always work. During these moments elastic thinking can help opening yourself to new ideas and adapt to change. In this course, Leonard Mlodinow shares the benefits of elastic thinking.</v>
      </c>
      <c r="E423" s="29" t="str">
        <f>IFERROR(__xludf.DUMMYFUNCTION("""COMPUTED_VALUE"""),"Thinking and Deciding Clearly")</f>
        <v>Thinking and Deciding Clearly</v>
      </c>
      <c r="F423" s="19" t="str">
        <f>IFERROR(__xludf.DUMMYFUNCTION("""COMPUTED_VALUE"""),"BigThink - Leonard Mlodinow")</f>
        <v>BigThink - Leonard Mlodinow</v>
      </c>
      <c r="G423" s="20">
        <f>IFERROR(__xludf.DUMMYFUNCTION("""COMPUTED_VALUE"""),29.0)</f>
        <v>29</v>
      </c>
      <c r="H423" s="20">
        <f>IFERROR(__xludf.DUMMYFUNCTION("""COMPUTED_VALUE"""),13.0)</f>
        <v>13</v>
      </c>
      <c r="I423" s="21" t="str">
        <f>IFERROR(__xludf.DUMMYFUNCTION("""COMPUTED_VALUE"""),"English, German")</f>
        <v>English, German</v>
      </c>
      <c r="J423" s="21" t="str">
        <f>IFERROR(__xludf.DUMMYFUNCTION("""COMPUTED_VALUE"""),"English")</f>
        <v>English</v>
      </c>
      <c r="K423" s="22">
        <f>IFERROR(__xludf.DUMMYFUNCTION("""COMPUTED_VALUE"""),44616.0)</f>
        <v>44616</v>
      </c>
      <c r="L423" s="23" t="str">
        <f>IFERROR(__xludf.DUMMYFUNCTION("""COMPUTED_VALUE"""),"https://masterplan.com/courses/elastisches-denken")</f>
        <v>https://masterplan.com/courses/elastisches-denken</v>
      </c>
    </row>
    <row r="424">
      <c r="A424" s="6" t="str">
        <f>IFERROR(__xludf.DUMMYFUNCTION("""COMPUTED_VALUE"""),"Feedback das wirkt")</f>
        <v>Feedback das wirkt</v>
      </c>
      <c r="B424" s="7" t="str">
        <f>IFERROR(__xludf.DUMMYFUNCTION("""COMPUTED_VALUE"""),"Feedback That Makes a Change")</f>
        <v>Feedback That Makes a Change</v>
      </c>
      <c r="C424" s="8" t="str">
        <f>IFERROR(__xludf.DUMMYFUNCTION("""COMPUTED_VALUE"""),"Feedback hilft Mitarbeiter:innen dabei, sich stetig zu verbessern. Jedoch ist die Art und Weise wie Feedback gegeben wird, entscheidend. Wie setzt du konstruktive Feedbackgespräche an? Wie kannst du sicherstellen, dass dein Feedback letzten Endes nicht en"&amp;"tmutigend ist?")</f>
        <v>Feedback hilft Mitarbeiter:innen dabei, sich stetig zu verbessern. Jedoch ist die Art und Weise wie Feedback gegeben wird, entscheidend. Wie setzt du konstruktive Feedbackgespräche an? Wie kannst du sicherstellen, dass dein Feedback letzten Endes nicht entmutigend ist?</v>
      </c>
      <c r="D424" s="8" t="str">
        <f>IFERROR(__xludf.DUMMYFUNCTION("""COMPUTED_VALUE"""),"We give feedback because we hope it will improve things in the future, but the wrong feedback gets us stuck in the past. In this Quick Take, you'll learn about the brain's response to receiving feedback, and how to work with it to make sure your feedback "&amp;"gets results.")</f>
        <v>We give feedback because we hope it will improve things in the future, but the wrong feedback gets us stuck in the past. In this Quick Take, you'll learn about the brain's response to receiving feedback, and how to work with it to make sure your feedback gets results.</v>
      </c>
      <c r="E424" s="24" t="str">
        <f>IFERROR(__xludf.DUMMYFUNCTION("""COMPUTED_VALUE"""),"Emotional Intelligence")</f>
        <v>Emotional Intelligence</v>
      </c>
      <c r="F424" s="10" t="str">
        <f>IFERROR(__xludf.DUMMYFUNCTION("""COMPUTED_VALUE"""),"Rapid Learning – a bts company")</f>
        <v>Rapid Learning – a bts company</v>
      </c>
      <c r="G424" s="11">
        <f>IFERROR(__xludf.DUMMYFUNCTION("""COMPUTED_VALUE"""),8.0)</f>
        <v>8</v>
      </c>
      <c r="H424" s="11">
        <f>IFERROR(__xludf.DUMMYFUNCTION("""COMPUTED_VALUE"""),4.0)</f>
        <v>4</v>
      </c>
      <c r="I424" s="12" t="str">
        <f>IFERROR(__xludf.DUMMYFUNCTION("""COMPUTED_VALUE"""),"English, German")</f>
        <v>English, German</v>
      </c>
      <c r="J424" s="12" t="str">
        <f>IFERROR(__xludf.DUMMYFUNCTION("""COMPUTED_VALUE"""),"English, German")</f>
        <v>English, German</v>
      </c>
      <c r="K424" s="13">
        <f>IFERROR(__xludf.DUMMYFUNCTION("""COMPUTED_VALUE"""),44615.0)</f>
        <v>44615</v>
      </c>
      <c r="L424" s="14" t="str">
        <f>IFERROR(__xludf.DUMMYFUNCTION("""COMPUTED_VALUE"""),"https://masterplan.com/courses/feedback-das-wirkt")</f>
        <v>https://masterplan.com/courses/feedback-das-wirkt</v>
      </c>
    </row>
    <row r="425">
      <c r="A425" s="15" t="str">
        <f>IFERROR(__xludf.DUMMYFUNCTION("""COMPUTED_VALUE"""),"In drei Sekunden besser Coachen")</f>
        <v>In drei Sekunden besser Coachen</v>
      </c>
      <c r="B425" s="16" t="str">
        <f>IFERROR(__xludf.DUMMYFUNCTION("""COMPUTED_VALUE"""),"A 3-Second Technique for Better Coaching")</f>
        <v>A 3-Second Technique for Better Coaching</v>
      </c>
      <c r="C425" s="17" t="str">
        <f>IFERROR(__xludf.DUMMYFUNCTION("""COMPUTED_VALUE"""),"Manchmal sagst du beim Coaching am besten einfach nichts. Wie ist das möglich? In diesem Kurs lernst du einen einfachen Drei-Sekunden-Trick kennen, der zu tieferen Gesprächen, durchdachteren Erkenntnissen und besseren Ergebnissen für die Menschen führt, d"&amp;"ie du coachst.")</f>
        <v>Manchmal sagst du beim Coaching am besten einfach nichts. Wie ist das möglich? In diesem Kurs lernst du einen einfachen Drei-Sekunden-Trick kennen, der zu tieferen Gesprächen, durchdachteren Erkenntnissen und besseren Ergebnissen für die Menschen führt, die du coachst.</v>
      </c>
      <c r="D425" s="17" t="str">
        <f>IFERROR(__xludf.DUMMYFUNCTION("""COMPUTED_VALUE"""),"Sometimes the best thing you can say while coaching is nothing at all. How is that possible? In this Quick Take, you'll learn a simple three-second trick that leads to deeper conversations, more thoughtful insights, and better outcomes for the people you "&amp;"coach.")</f>
        <v>Sometimes the best thing you can say while coaching is nothing at all. How is that possible? In this Quick Take, you'll learn a simple three-second trick that leads to deeper conversations, more thoughtful insights, and better outcomes for the people you coach.</v>
      </c>
      <c r="E425" s="26" t="str">
        <f>IFERROR(__xludf.DUMMYFUNCTION("""COMPUTED_VALUE"""),"Collaboration and Leadership")</f>
        <v>Collaboration and Leadership</v>
      </c>
      <c r="F425" s="19" t="str">
        <f>IFERROR(__xludf.DUMMYFUNCTION("""COMPUTED_VALUE"""),"Rapid Learning – a bts company")</f>
        <v>Rapid Learning – a bts company</v>
      </c>
      <c r="G425" s="20">
        <f>IFERROR(__xludf.DUMMYFUNCTION("""COMPUTED_VALUE"""),8.0)</f>
        <v>8</v>
      </c>
      <c r="H425" s="20">
        <f>IFERROR(__xludf.DUMMYFUNCTION("""COMPUTED_VALUE"""),4.0)</f>
        <v>4</v>
      </c>
      <c r="I425" s="21" t="str">
        <f>IFERROR(__xludf.DUMMYFUNCTION("""COMPUTED_VALUE"""),"English, German")</f>
        <v>English, German</v>
      </c>
      <c r="J425" s="21" t="str">
        <f>IFERROR(__xludf.DUMMYFUNCTION("""COMPUTED_VALUE"""),"English, German")</f>
        <v>English, German</v>
      </c>
      <c r="K425" s="22">
        <f>IFERROR(__xludf.DUMMYFUNCTION("""COMPUTED_VALUE"""),44615.0)</f>
        <v>44615</v>
      </c>
      <c r="L425" s="23" t="str">
        <f>IFERROR(__xludf.DUMMYFUNCTION("""COMPUTED_VALUE"""),"https://masterplan.com/courses/a-3-second-technique-for-better-coaching")</f>
        <v>https://masterplan.com/courses/a-3-second-technique-for-better-coaching</v>
      </c>
    </row>
    <row r="426">
      <c r="A426" s="6" t="str">
        <f>IFERROR(__xludf.DUMMYFUNCTION("""COMPUTED_VALUE"""),"Rückschläge positiv gestalten")</f>
        <v>Rückschläge positiv gestalten</v>
      </c>
      <c r="B426" s="7" t="str">
        <f>IFERROR(__xludf.DUMMYFUNCTION("""COMPUTED_VALUE"""),"Framing Setbacks to Promote Success")</f>
        <v>Framing Setbacks to Promote Success</v>
      </c>
      <c r="C426" s="8" t="str">
        <f>IFERROR(__xludf.DUMMYFUNCTION("""COMPUTED_VALUE"""),"Rückschläge sind ärgerlich, doch davon solltest du dich nicht beirren lassen. Dein Umgang mit Rückschlägen entscheidet über deine Erfolge. Lerne innerhalb weniger Minuten, wie du Rückschlägen in Zukunft viel Positives abgewinnst.")</f>
        <v>Rückschläge sind ärgerlich, doch davon solltest du dich nicht beirren lassen. Dein Umgang mit Rückschlägen entscheidet über deine Erfolge. Lerne innerhalb weniger Minuten, wie du Rückschlägen in Zukunft viel Positives abgewinnst.</v>
      </c>
      <c r="D426" s="8" t="str">
        <f>IFERROR(__xludf.DUMMYFUNCTION("""COMPUTED_VALUE"""),"Setbacks are a part of life – but how we deal with them is a huge factor in our future success. In this Quick Take, you'll learn how different explanatory styles can help or hurt our ability to get things done, and how to frame setbacks in a positive way.")</f>
        <v>Setbacks are a part of life – but how we deal with them is a huge factor in our future success. In this Quick Take, you'll learn how different explanatory styles can help or hurt our ability to get things done, and how to frame setbacks in a positive way.</v>
      </c>
      <c r="E426" s="26" t="str">
        <f>IFERROR(__xludf.DUMMYFUNCTION("""COMPUTED_VALUE"""),"Collaboration and Leadership")</f>
        <v>Collaboration and Leadership</v>
      </c>
      <c r="F426" s="10" t="str">
        <f>IFERROR(__xludf.DUMMYFUNCTION("""COMPUTED_VALUE"""),"Rapid Learning – a bts company")</f>
        <v>Rapid Learning – a bts company</v>
      </c>
      <c r="G426" s="11">
        <f>IFERROR(__xludf.DUMMYFUNCTION("""COMPUTED_VALUE"""),8.0)</f>
        <v>8</v>
      </c>
      <c r="H426" s="11">
        <f>IFERROR(__xludf.DUMMYFUNCTION("""COMPUTED_VALUE"""),4.0)</f>
        <v>4</v>
      </c>
      <c r="I426" s="12" t="str">
        <f>IFERROR(__xludf.DUMMYFUNCTION("""COMPUTED_VALUE"""),"English, German")</f>
        <v>English, German</v>
      </c>
      <c r="J426" s="12" t="str">
        <f>IFERROR(__xludf.DUMMYFUNCTION("""COMPUTED_VALUE"""),"English, German")</f>
        <v>English, German</v>
      </c>
      <c r="K426" s="13">
        <f>IFERROR(__xludf.DUMMYFUNCTION("""COMPUTED_VALUE"""),44615.0)</f>
        <v>44615</v>
      </c>
      <c r="L426" s="14" t="str">
        <f>IFERROR(__xludf.DUMMYFUNCTION("""COMPUTED_VALUE"""),"https://masterplan.com/courses/rueckschlaege-positiv-gestalten")</f>
        <v>https://masterplan.com/courses/rueckschlaege-positiv-gestalten</v>
      </c>
    </row>
    <row r="427">
      <c r="A427" s="15" t="str">
        <f>IFERROR(__xludf.DUMMYFUNCTION("""COMPUTED_VALUE"""),"Mit Fehlern umgehen")</f>
        <v>Mit Fehlern umgehen</v>
      </c>
      <c r="B427" s="16" t="str">
        <f>IFERROR(__xludf.DUMMYFUNCTION("""COMPUTED_VALUE"""),"Dealing with Mistakes")</f>
        <v>Dealing with Mistakes</v>
      </c>
      <c r="C427" s="17" t="str">
        <f>IFERROR(__xludf.DUMMYFUNCTION("""COMPUTED_VALUE"""),"Manche Führungskräfte vermeiden Fehler, gute Führungskräfte lernen aus ihnen! In diesem Quick Take lernst du, wie du ein Umfeld schaffst, in dem sich dein Team wohlfühlt, Fehler anzusprechen und Alternativen aufzuzeigen, so dass aus diesen Fehlern gelernt"&amp;" wird!")</f>
        <v>Manche Führungskräfte vermeiden Fehler, gute Führungskräfte lernen aus ihnen! In diesem Quick Take lernst du, wie du ein Umfeld schaffst, in dem sich dein Team wohlfühlt, Fehler anzusprechen und Alternativen aufzuzeigen, so dass aus diesen Fehlern gelernt wird!</v>
      </c>
      <c r="D427" s="17" t="str">
        <f>IFERROR(__xludf.DUMMYFUNCTION("""COMPUTED_VALUE"""),"Some leaders avoid mistakes, but great leaders learn from them! In this Quick Take, you'll learn how to foster an environment where your team members feel comfortable sharing mistakes and identifying possible improvements so that these errors can be put t"&amp;"o good use!")</f>
        <v>Some leaders avoid mistakes, but great leaders learn from them! In this Quick Take, you'll learn how to foster an environment where your team members feel comfortable sharing mistakes and identifying possible improvements so that these errors can be put to good use!</v>
      </c>
      <c r="E427" s="26" t="str">
        <f>IFERROR(__xludf.DUMMYFUNCTION("""COMPUTED_VALUE"""),"Collaboration and Leadership")</f>
        <v>Collaboration and Leadership</v>
      </c>
      <c r="F427" s="19" t="str">
        <f>IFERROR(__xludf.DUMMYFUNCTION("""COMPUTED_VALUE"""),"Rapid Learning – a bts company")</f>
        <v>Rapid Learning – a bts company</v>
      </c>
      <c r="G427" s="20">
        <f>IFERROR(__xludf.DUMMYFUNCTION("""COMPUTED_VALUE"""),8.0)</f>
        <v>8</v>
      </c>
      <c r="H427" s="20">
        <f>IFERROR(__xludf.DUMMYFUNCTION("""COMPUTED_VALUE"""),4.0)</f>
        <v>4</v>
      </c>
      <c r="I427" s="21" t="str">
        <f>IFERROR(__xludf.DUMMYFUNCTION("""COMPUTED_VALUE"""),"English, German")</f>
        <v>English, German</v>
      </c>
      <c r="J427" s="21" t="str">
        <f>IFERROR(__xludf.DUMMYFUNCTION("""COMPUTED_VALUE"""),"English, German")</f>
        <v>English, German</v>
      </c>
      <c r="K427" s="22">
        <f>IFERROR(__xludf.DUMMYFUNCTION("""COMPUTED_VALUE"""),44615.0)</f>
        <v>44615</v>
      </c>
      <c r="L427" s="23" t="str">
        <f>IFERROR(__xludf.DUMMYFUNCTION("""COMPUTED_VALUE"""),"https://masterplan.com/courses/mit-fehlern-umgehen")</f>
        <v>https://masterplan.com/courses/mit-fehlern-umgehen</v>
      </c>
    </row>
    <row r="428">
      <c r="A428" s="6" t="str">
        <f>IFERROR(__xludf.DUMMYFUNCTION("""COMPUTED_VALUE"""),"Wirksam Lob aussprechen")</f>
        <v>Wirksam Lob aussprechen</v>
      </c>
      <c r="B428" s="7" t="str">
        <f>IFERROR(__xludf.DUMMYFUNCTION("""COMPUTED_VALUE"""),"How to Praise Effectively")</f>
        <v>How to Praise Effectively</v>
      </c>
      <c r="C428" s="8" t="str">
        <f>IFERROR(__xludf.DUMMYFUNCTION("""COMPUTED_VALUE"""),"Lob ist etwas Gutes, oder etwa nicht? Nicht ganz, denn hin und wieder können Lobeshymnen auch ganz schön nach hinten losgehen. Wir verraten dir, wie du Lob in Feedbackgesprächen wirklich motivierend, aufrichtig und nachhaltig gestalten kannst.")</f>
        <v>Lob ist etwas Gutes, oder etwa nicht? Nicht ganz, denn hin und wieder können Lobeshymnen auch ganz schön nach hinten losgehen. Wir verraten dir, wie du Lob in Feedbackgesprächen wirklich motivierend, aufrichtig und nachhaltig gestalten kannst.</v>
      </c>
      <c r="D428" s="8" t="str">
        <f>IFERROR(__xludf.DUMMYFUNCTION("""COMPUTED_VALUE"""),"Praise is a crucial part of effective feedback, but sometimes it can backfire. How do we know when praise is motivating or demotivating? In this Quick Take, you'll learn three steps to give sincere and effective praise that will truly help your team!")</f>
        <v>Praise is a crucial part of effective feedback, but sometimes it can backfire. How do we know when praise is motivating or demotivating? In this Quick Take, you'll learn three steps to give sincere and effective praise that will truly help your team!</v>
      </c>
      <c r="E428" s="24" t="str">
        <f>IFERROR(__xludf.DUMMYFUNCTION("""COMPUTED_VALUE"""),"Emotional Intelligence")</f>
        <v>Emotional Intelligence</v>
      </c>
      <c r="F428" s="10" t="str">
        <f>IFERROR(__xludf.DUMMYFUNCTION("""COMPUTED_VALUE"""),"Rapid Learning – a bts company")</f>
        <v>Rapid Learning – a bts company</v>
      </c>
      <c r="G428" s="11">
        <f>IFERROR(__xludf.DUMMYFUNCTION("""COMPUTED_VALUE"""),8.0)</f>
        <v>8</v>
      </c>
      <c r="H428" s="11">
        <f>IFERROR(__xludf.DUMMYFUNCTION("""COMPUTED_VALUE"""),4.0)</f>
        <v>4</v>
      </c>
      <c r="I428" s="12" t="str">
        <f>IFERROR(__xludf.DUMMYFUNCTION("""COMPUTED_VALUE"""),"English, German")</f>
        <v>English, German</v>
      </c>
      <c r="J428" s="12" t="str">
        <f>IFERROR(__xludf.DUMMYFUNCTION("""COMPUTED_VALUE"""),"English, German")</f>
        <v>English, German</v>
      </c>
      <c r="K428" s="13">
        <f>IFERROR(__xludf.DUMMYFUNCTION("""COMPUTED_VALUE"""),44615.0)</f>
        <v>44615</v>
      </c>
      <c r="L428" s="14" t="str">
        <f>IFERROR(__xludf.DUMMYFUNCTION("""COMPUTED_VALUE"""),"https://masterplan.com/courses/wirksam-lob-aussprechen")</f>
        <v>https://masterplan.com/courses/wirksam-lob-aussprechen</v>
      </c>
    </row>
    <row r="429">
      <c r="A429" s="15" t="str">
        <f>IFERROR(__xludf.DUMMYFUNCTION("""COMPUTED_VALUE"""),"Schwierige Gespräche führen")</f>
        <v>Schwierige Gespräche führen</v>
      </c>
      <c r="B429" s="16" t="str">
        <f>IFERROR(__xludf.DUMMYFUNCTION("""COMPUTED_VALUE"""),"How to Handle Difficult Conversations")</f>
        <v>How to Handle Difficult Conversations</v>
      </c>
      <c r="C429" s="17" t="str">
        <f>IFERROR(__xludf.DUMMYFUNCTION("""COMPUTED_VALUE"""),"Am Arbeitsplatz kann es unter Umständen persönlich werden. Weißt du, wie du in unangenehmen Situationen oder Gesprächen objektiv, fair und dennoch mitfühlend handelst, sodass das Arbeitsverhältnis nicht in Mitleidenschaft gezogen wird?")</f>
        <v>Am Arbeitsplatz kann es unter Umständen persönlich werden. Weißt du, wie du in unangenehmen Situationen oder Gesprächen objektiv, fair und dennoch mitfühlend handelst, sodass das Arbeitsverhältnis nicht in Mitleidenschaft gezogen wird?</v>
      </c>
      <c r="D429" s="17" t="str">
        <f>IFERROR(__xludf.DUMMYFUNCTION("""COMPUTED_VALUE"""),"Even in the workplace, things can sometimes get personal. In this Quick Take, you'll learn a simple method for navigating uncomfortable conversations in a way that's objective, fair, and compassionate so that problems can get solved instead of feelings hu"&amp;"rt.")</f>
        <v>Even in the workplace, things can sometimes get personal. In this Quick Take, you'll learn a simple method for navigating uncomfortable conversations in a way that's objective, fair, and compassionate so that problems can get solved instead of feelings hurt.</v>
      </c>
      <c r="E429" s="28" t="str">
        <f>IFERROR(__xludf.DUMMYFUNCTION("""COMPUTED_VALUE"""),"Communication")</f>
        <v>Communication</v>
      </c>
      <c r="F429" s="19" t="str">
        <f>IFERROR(__xludf.DUMMYFUNCTION("""COMPUTED_VALUE"""),"Rapid Learning – a bts company")</f>
        <v>Rapid Learning – a bts company</v>
      </c>
      <c r="G429" s="20">
        <f>IFERROR(__xludf.DUMMYFUNCTION("""COMPUTED_VALUE"""),9.0)</f>
        <v>9</v>
      </c>
      <c r="H429" s="20">
        <f>IFERROR(__xludf.DUMMYFUNCTION("""COMPUTED_VALUE"""),4.0)</f>
        <v>4</v>
      </c>
      <c r="I429" s="21" t="str">
        <f>IFERROR(__xludf.DUMMYFUNCTION("""COMPUTED_VALUE"""),"English, German")</f>
        <v>English, German</v>
      </c>
      <c r="J429" s="21" t="str">
        <f>IFERROR(__xludf.DUMMYFUNCTION("""COMPUTED_VALUE"""),"English, German")</f>
        <v>English, German</v>
      </c>
      <c r="K429" s="22">
        <f>IFERROR(__xludf.DUMMYFUNCTION("""COMPUTED_VALUE"""),44615.0)</f>
        <v>44615</v>
      </c>
      <c r="L429" s="23" t="str">
        <f>IFERROR(__xludf.DUMMYFUNCTION("""COMPUTED_VALUE"""),"https://masterplan.com/courses/schwierige-gespraeche-fuhren")</f>
        <v>https://masterplan.com/courses/schwierige-gespraeche-fuhren</v>
      </c>
    </row>
    <row r="430">
      <c r="A430" s="6" t="str">
        <f>IFERROR(__xludf.DUMMYFUNCTION("""COMPUTED_VALUE"""),"Ehrliche Gespräche führen")</f>
        <v>Ehrliche Gespräche führen</v>
      </c>
      <c r="B430" s="7" t="str">
        <f>IFERROR(__xludf.DUMMYFUNCTION("""COMPUTED_VALUE"""),"How to Have an Honest Conversation")</f>
        <v>How to Have an Honest Conversation</v>
      </c>
      <c r="C430" s="8" t="str">
        <f>IFERROR(__xludf.DUMMYFUNCTION("""COMPUTED_VALUE"""),"Nicht alle Themen, die es bei unseren Mitmenschen anszusprechen gilt, sind heiter bis fröhlich. Dieser Kurs unterstützt dich dabei, unangenehme Gespräche in Zukunft kompetent zu meistern.")</f>
        <v>Nicht alle Themen, die es bei unseren Mitmenschen anszusprechen gilt, sind heiter bis fröhlich. Dieser Kurs unterstützt dich dabei, unangenehme Gespräche in Zukunft kompetent zu meistern.</v>
      </c>
      <c r="D430" s="8" t="str">
        <f>IFERROR(__xludf.DUMMYFUNCTION("""COMPUTED_VALUE"""),"Some conversations can be really awkward. Whether it's about something trivial, like a crumb-infested knife in the butter dish, or something as serious as firing an employee, someone’s got to say it. And if that person is you, this course is here to help.")</f>
        <v>Some conversations can be really awkward. Whether it's about something trivial, like a crumb-infested knife in the butter dish, or something as serious as firing an employee, someone’s got to say it. And if that person is you, this course is here to help.</v>
      </c>
      <c r="E430" s="28" t="str">
        <f>IFERROR(__xludf.DUMMYFUNCTION("""COMPUTED_VALUE"""),"Communication")</f>
        <v>Communication</v>
      </c>
      <c r="F430" s="10" t="str">
        <f>IFERROR(__xludf.DUMMYFUNCTION("""COMPUTED_VALUE"""),"iAM Learning")</f>
        <v>iAM Learning</v>
      </c>
      <c r="G430" s="11">
        <f>IFERROR(__xludf.DUMMYFUNCTION("""COMPUTED_VALUE"""),8.0)</f>
        <v>8</v>
      </c>
      <c r="H430" s="11">
        <f>IFERROR(__xludf.DUMMYFUNCTION("""COMPUTED_VALUE"""),17.0)</f>
        <v>17</v>
      </c>
      <c r="I430" s="12" t="str">
        <f>IFERROR(__xludf.DUMMYFUNCTION("""COMPUTED_VALUE"""),"English, German")</f>
        <v>English, German</v>
      </c>
      <c r="J430" s="12" t="str">
        <f>IFERROR(__xludf.DUMMYFUNCTION("""COMPUTED_VALUE"""),"English, German")</f>
        <v>English, German</v>
      </c>
      <c r="K430" s="13">
        <f>IFERROR(__xludf.DUMMYFUNCTION("""COMPUTED_VALUE"""),44614.0)</f>
        <v>44614</v>
      </c>
      <c r="L430" s="14" t="str">
        <f>IFERROR(__xludf.DUMMYFUNCTION("""COMPUTED_VALUE"""),"https://masterplan.com/courses/ehrliche-gesprache-fuhren")</f>
        <v>https://masterplan.com/courses/ehrliche-gesprache-fuhren</v>
      </c>
    </row>
    <row r="431">
      <c r="A431" s="15" t="str">
        <f>IFERROR(__xludf.DUMMYFUNCTION("""COMPUTED_VALUE"""),"Mit Feedback Verhalten korrigieren")</f>
        <v>Mit Feedback Verhalten korrigieren</v>
      </c>
      <c r="B431" s="16" t="str">
        <f>IFERROR(__xludf.DUMMYFUNCTION("""COMPUTED_VALUE"""),"How to Frame Corrective Feedback")</f>
        <v>How to Frame Corrective Feedback</v>
      </c>
      <c r="C431" s="17" t="str">
        <f>IFERROR(__xludf.DUMMYFUNCTION("""COMPUTED_VALUE"""),"Feedback ist nicht gleich Feedback. Möchtest du erreichen, dass sich Mitarbeitende verbessern, ist es wichtig, wie du Feedback vergibst. In diesem Kurs lernst du, wie du konstruktives Feedback wirkungsvoll einsetzt. Spoiler: Auf die Darstellung kommt es a"&amp;"n!")</f>
        <v>Feedback ist nicht gleich Feedback. Möchtest du erreichen, dass sich Mitarbeitende verbessern, ist es wichtig, wie du Feedback vergibst. In diesem Kurs lernst du, wie du konstruktives Feedback wirkungsvoll einsetzt. Spoiler: Auf die Darstellung kommt es an!</v>
      </c>
      <c r="D431" s="17" t="str">
        <f>IFERROR(__xludf.DUMMYFUNCTION("""COMPUTED_VALUE"""),"Research shows that the best way to change behavior is through positive corrective feedback, but how can you frame negative information in a positive way without sugarcoating it? In this Quick Take, you'll learn an honest approach to positive corrective f"&amp;"eedback.")</f>
        <v>Research shows that the best way to change behavior is through positive corrective feedback, but how can you frame negative information in a positive way without sugarcoating it? In this Quick Take, you'll learn an honest approach to positive corrective feedback.</v>
      </c>
      <c r="E431" s="28" t="str">
        <f>IFERROR(__xludf.DUMMYFUNCTION("""COMPUTED_VALUE"""),"Communication")</f>
        <v>Communication</v>
      </c>
      <c r="F431" s="19" t="str">
        <f>IFERROR(__xludf.DUMMYFUNCTION("""COMPUTED_VALUE"""),"Rapid Learning – a bts company")</f>
        <v>Rapid Learning – a bts company</v>
      </c>
      <c r="G431" s="20">
        <f>IFERROR(__xludf.DUMMYFUNCTION("""COMPUTED_VALUE"""),8.0)</f>
        <v>8</v>
      </c>
      <c r="H431" s="20">
        <f>IFERROR(__xludf.DUMMYFUNCTION("""COMPUTED_VALUE"""),4.0)</f>
        <v>4</v>
      </c>
      <c r="I431" s="21" t="str">
        <f>IFERROR(__xludf.DUMMYFUNCTION("""COMPUTED_VALUE"""),"English, German")</f>
        <v>English, German</v>
      </c>
      <c r="J431" s="21" t="str">
        <f>IFERROR(__xludf.DUMMYFUNCTION("""COMPUTED_VALUE"""),"English, German")</f>
        <v>English, German</v>
      </c>
      <c r="K431" s="22">
        <f>IFERROR(__xludf.DUMMYFUNCTION("""COMPUTED_VALUE"""),44614.0)</f>
        <v>44614</v>
      </c>
      <c r="L431" s="23" t="str">
        <f>IFERROR(__xludf.DUMMYFUNCTION("""COMPUTED_VALUE"""),"https://masterplan.com/courses/feedback-verhalten-korrigieren")</f>
        <v>https://masterplan.com/courses/feedback-verhalten-korrigieren</v>
      </c>
    </row>
    <row r="432">
      <c r="A432" s="6" t="str">
        <f>IFERROR(__xludf.DUMMYFUNCTION("""COMPUTED_VALUE"""),"Diversität &amp; Inklusion - gute Absichten sind nicht genug")</f>
        <v>Diversität &amp; Inklusion - gute Absichten sind nicht genug</v>
      </c>
      <c r="B432" s="7" t="str">
        <f>IFERROR(__xludf.DUMMYFUNCTION("""COMPUTED_VALUE"""),"Inclusion and Diversity")</f>
        <v>Inclusion and Diversity</v>
      </c>
      <c r="C432" s="8" t="str">
        <f>IFERROR(__xludf.DUMMYFUNCTION("""COMPUTED_VALUE"""),"Wie kannst du ein vielfältiges und inklusives Arbeitsumfeld schaffen? In diesem Kurs erfährst du die wichtigsten Aspekte der Inklusion. Außerdem erlernst du Strategien zur Überwindung von Ausgrenzung und wie du jede Person gut einbeziehst.")</f>
        <v>Wie kannst du ein vielfältiges und inklusives Arbeitsumfeld schaffen? In diesem Kurs erfährst du die wichtigsten Aspekte der Inklusion. Außerdem erlernst du Strategien zur Überwindung von Ausgrenzung und wie du jede Person gut einbeziehst.</v>
      </c>
      <c r="D432" s="8" t="str">
        <f>IFERROR(__xludf.DUMMYFUNCTION("""COMPUTED_VALUE"""),"How can you make your work environment not only diverse, but inclusive? In this Quick Take, you'll learn the two key drivers of inclusion, strategies to help talent overcome exclusion barriers, and how to foster an environment where everyone's perspective"&amp;" is an asset.")</f>
        <v>How can you make your work environment not only diverse, but inclusive? In this Quick Take, you'll learn the two key drivers of inclusion, strategies to help talent overcome exclusion barriers, and how to foster an environment where everyone's perspective is an asset.</v>
      </c>
      <c r="E432" s="24" t="str">
        <f>IFERROR(__xludf.DUMMYFUNCTION("""COMPUTED_VALUE"""),"Emotional Intelligence")</f>
        <v>Emotional Intelligence</v>
      </c>
      <c r="F432" s="10" t="str">
        <f>IFERROR(__xludf.DUMMYFUNCTION("""COMPUTED_VALUE"""),"Rapid Learning – a bts company")</f>
        <v>Rapid Learning – a bts company</v>
      </c>
      <c r="G432" s="11">
        <f>IFERROR(__xludf.DUMMYFUNCTION("""COMPUTED_VALUE"""),8.0)</f>
        <v>8</v>
      </c>
      <c r="H432" s="11">
        <f>IFERROR(__xludf.DUMMYFUNCTION("""COMPUTED_VALUE"""),4.0)</f>
        <v>4</v>
      </c>
      <c r="I432" s="12" t="str">
        <f>IFERROR(__xludf.DUMMYFUNCTION("""COMPUTED_VALUE"""),"English, German")</f>
        <v>English, German</v>
      </c>
      <c r="J432" s="12" t="str">
        <f>IFERROR(__xludf.DUMMYFUNCTION("""COMPUTED_VALUE"""),"English, German")</f>
        <v>English, German</v>
      </c>
      <c r="K432" s="13">
        <f>IFERROR(__xludf.DUMMYFUNCTION("""COMPUTED_VALUE"""),44614.0)</f>
        <v>44614</v>
      </c>
      <c r="L432" s="14" t="str">
        <f>IFERROR(__xludf.DUMMYFUNCTION("""COMPUTED_VALUE"""),"https://masterplan.com/courses/inklusion-diversitaet")</f>
        <v>https://masterplan.com/courses/inklusion-diversitaet</v>
      </c>
    </row>
    <row r="433">
      <c r="A433" s="15" t="str">
        <f>IFERROR(__xludf.DUMMYFUNCTION("""COMPUTED_VALUE"""),"Growth Mindset: Stärke durch Offenheit")</f>
        <v>Growth Mindset: Stärke durch Offenheit</v>
      </c>
      <c r="B433" s="16" t="str">
        <f>IFERROR(__xludf.DUMMYFUNCTION("""COMPUTED_VALUE"""),"Harnessing the Growth Mindset")</f>
        <v>Harnessing the Growth Mindset</v>
      </c>
      <c r="C433" s="17" t="str">
        <f>IFERROR(__xludf.DUMMYFUNCTION("""COMPUTED_VALUE"""),"Das Growth Mindset wurde auf mithilfe strenger wissenschaftlicher Untersuchungen entwickelt und hilft, in allen Lebensbereichen Fortschritte zu machen, sei es bei der Beförderung im Beruf, bei der Erweiterung deiner Ausbildung oder einfach durch positives"&amp;" Denken.")</f>
        <v>Das Growth Mindset wurde auf mithilfe strenger wissenschaftlicher Untersuchungen entwickelt und hilft, in allen Lebensbereichen Fortschritte zu machen, sei es bei der Beförderung im Beruf, bei der Erweiterung deiner Ausbildung oder einfach durch positives Denken.</v>
      </c>
      <c r="D433" s="17" t="str">
        <f>IFERROR(__xludf.DUMMYFUNCTION("""COMPUTED_VALUE"""),"The Growth Mindset has been developed using rigorous scientific research and can really help you progress in all aspects of life, whether getting that promotion at work, expanding your education, or simply thinking more positively. This course is here to "&amp;"show you how.")</f>
        <v>The Growth Mindset has been developed using rigorous scientific research and can really help you progress in all aspects of life, whether getting that promotion at work, expanding your education, or simply thinking more positively. This course is here to show you how.</v>
      </c>
      <c r="E433" s="26" t="str">
        <f>IFERROR(__xludf.DUMMYFUNCTION("""COMPUTED_VALUE"""),"Collaboration and Leadership")</f>
        <v>Collaboration and Leadership</v>
      </c>
      <c r="F433" s="19" t="str">
        <f>IFERROR(__xludf.DUMMYFUNCTION("""COMPUTED_VALUE"""),"iAM Learning")</f>
        <v>iAM Learning</v>
      </c>
      <c r="G433" s="20">
        <f>IFERROR(__xludf.DUMMYFUNCTION("""COMPUTED_VALUE"""),8.0)</f>
        <v>8</v>
      </c>
      <c r="H433" s="20">
        <f>IFERROR(__xludf.DUMMYFUNCTION("""COMPUTED_VALUE"""),16.0)</f>
        <v>16</v>
      </c>
      <c r="I433" s="21" t="str">
        <f>IFERROR(__xludf.DUMMYFUNCTION("""COMPUTED_VALUE"""),"English, German")</f>
        <v>English, German</v>
      </c>
      <c r="J433" s="21" t="str">
        <f>IFERROR(__xludf.DUMMYFUNCTION("""COMPUTED_VALUE"""),"English, German")</f>
        <v>English, German</v>
      </c>
      <c r="K433" s="22">
        <f>IFERROR(__xludf.DUMMYFUNCTION("""COMPUTED_VALUE"""),44614.0)</f>
        <v>44614</v>
      </c>
      <c r="L433" s="23" t="str">
        <f>IFERROR(__xludf.DUMMYFUNCTION("""COMPUTED_VALUE"""),"https://masterplan.com/courses/starke-durch-offenheit")</f>
        <v>https://masterplan.com/courses/starke-durch-offenheit</v>
      </c>
    </row>
    <row r="434">
      <c r="A434" s="6" t="str">
        <f>IFERROR(__xludf.DUMMYFUNCTION("""COMPUTED_VALUE"""),"Sei gut zu dir selbst")</f>
        <v>Sei gut zu dir selbst</v>
      </c>
      <c r="B434" s="7" t="str">
        <f>IFERROR(__xludf.DUMMYFUNCTION("""COMPUTED_VALUE"""),"Being Kind to Yourself")</f>
        <v>Being Kind to Yourself</v>
      </c>
      <c r="C434" s="8" t="str">
        <f>IFERROR(__xludf.DUMMYFUNCTION("""COMPUTED_VALUE"""),"Es gibt viele Möglichkeiten, wie du dein geistiges Wohlbefinden verbessern kannst. Eine gute psychische Gesundheit hat positive Auswirkungen auf dich und dein Umfeld. In diesem Kurs lernst du fünf Schritte kennen, mit denen du den Weg zum Glück beginnst.")</f>
        <v>Es gibt viele Möglichkeiten, wie du dein geistiges Wohlbefinden verbessern kannst. Eine gute psychische Gesundheit hat positive Auswirkungen auf dich und dein Umfeld. In diesem Kurs lernst du fünf Schritte kennen, mit denen du den Weg zum Glück beginnst.</v>
      </c>
      <c r="D434" s="8" t="str">
        <f>IFERROR(__xludf.DUMMYFUNCTION("""COMPUTED_VALUE"""),"There are many different ways you can improve your mental wellbeing. And who wouldn’t you want to? Being in good mental health brings positive effects for you and everyone in your life. In this course, you'll learn five steps to take to begin your road to"&amp;" happiness.")</f>
        <v>There are many different ways you can improve your mental wellbeing. And who wouldn’t you want to? Being in good mental health brings positive effects for you and everyone in your life. In this course, you'll learn five steps to take to begin your road to happiness.</v>
      </c>
      <c r="E434" s="24" t="str">
        <f>IFERROR(__xludf.DUMMYFUNCTION("""COMPUTED_VALUE"""),"Emotional Intelligence")</f>
        <v>Emotional Intelligence</v>
      </c>
      <c r="F434" s="10" t="str">
        <f>IFERROR(__xludf.DUMMYFUNCTION("""COMPUTED_VALUE"""),"iAM Learning")</f>
        <v>iAM Learning</v>
      </c>
      <c r="G434" s="11">
        <f>IFERROR(__xludf.DUMMYFUNCTION("""COMPUTED_VALUE"""),8.0)</f>
        <v>8</v>
      </c>
      <c r="H434" s="11">
        <f>IFERROR(__xludf.DUMMYFUNCTION("""COMPUTED_VALUE"""),15.0)</f>
        <v>15</v>
      </c>
      <c r="I434" s="12" t="str">
        <f>IFERROR(__xludf.DUMMYFUNCTION("""COMPUTED_VALUE"""),"English, German")</f>
        <v>English, German</v>
      </c>
      <c r="J434" s="12" t="str">
        <f>IFERROR(__xludf.DUMMYFUNCTION("""COMPUTED_VALUE"""),"English, German")</f>
        <v>English, German</v>
      </c>
      <c r="K434" s="13">
        <f>IFERROR(__xludf.DUMMYFUNCTION("""COMPUTED_VALUE"""),44613.0)</f>
        <v>44613</v>
      </c>
      <c r="L434" s="14" t="str">
        <f>IFERROR(__xludf.DUMMYFUNCTION("""COMPUTED_VALUE"""),"https://masterplan.com/courses/sei-gut-zu-dir-selbst")</f>
        <v>https://masterplan.com/courses/sei-gut-zu-dir-selbst</v>
      </c>
    </row>
    <row r="435">
      <c r="A435" s="15" t="str">
        <f>IFERROR(__xludf.DUMMYFUNCTION("""COMPUTED_VALUE"""),"Hoch hinaus mit diesem Wissen: Leitersicherheit")</f>
        <v>Hoch hinaus mit diesem Wissen: Leitersicherheit</v>
      </c>
      <c r="B435" s="16" t="str">
        <f>IFERROR(__xludf.DUMMYFUNCTION("""COMPUTED_VALUE"""),"The Ups &amp; Downs of Ladder Safety")</f>
        <v>The Ups &amp; Downs of Ladder Safety</v>
      </c>
      <c r="C435" s="17" t="str">
        <f>IFERROR(__xludf.DUMMYFUNCTION("""COMPUTED_VALUE"""),"Egal, ob du im beruflich oder privat auf die Leiter kletterst – es ist wichtig, dass du die Sicherheitsrichtlinien befolgst, um Risiken zu minimieren. Dieser Kurs führt dich anschaulich durch das Thema, sodass du bestens informiert darüber bist, was zum B"&amp;"eispiel im Falle eines Notfalls zu tun ist.")</f>
        <v>Egal, ob du im beruflich oder privat auf die Leiter kletterst – es ist wichtig, dass du die Sicherheitsrichtlinien befolgst, um Risiken zu minimieren. Dieser Kurs führt dich anschaulich durch das Thema, sodass du bestens informiert darüber bist, was zum Beispiel im Falle eines Notfalls zu tun ist.</v>
      </c>
      <c r="D435" s="17" t="str">
        <f>IFERROR(__xludf.DUMMYFUNCTION("""COMPUTED_VALUE"""),"Whether you use a ladder at work or simply around the house, you need to follow health and safety guidelines in order to mitigate the potential risks. This course covers all the essentials, from how to perform a pre-use inspection to what to do if somethi"&amp;"ng goes wrong.")</f>
        <v>Whether you use a ladder at work or simply around the house, you need to follow health and safety guidelines in order to mitigate the potential risks. This course covers all the essentials, from how to perform a pre-use inspection to what to do if something goes wrong.</v>
      </c>
      <c r="E435" s="9" t="str">
        <f>IFERROR(__xludf.DUMMYFUNCTION("""COMPUTED_VALUE"""),"Mandatory Training")</f>
        <v>Mandatory Training</v>
      </c>
      <c r="F435" s="19" t="str">
        <f>IFERROR(__xludf.DUMMYFUNCTION("""COMPUTED_VALUE"""),"iAM Learning")</f>
        <v>iAM Learning</v>
      </c>
      <c r="G435" s="20">
        <f>IFERROR(__xludf.DUMMYFUNCTION("""COMPUTED_VALUE"""),13.0)</f>
        <v>13</v>
      </c>
      <c r="H435" s="20">
        <f>IFERROR(__xludf.DUMMYFUNCTION("""COMPUTED_VALUE"""),12.0)</f>
        <v>12</v>
      </c>
      <c r="I435" s="21" t="str">
        <f>IFERROR(__xludf.DUMMYFUNCTION("""COMPUTED_VALUE"""),"English, German")</f>
        <v>English, German</v>
      </c>
      <c r="J435" s="21" t="str">
        <f>IFERROR(__xludf.DUMMYFUNCTION("""COMPUTED_VALUE"""),"English, German")</f>
        <v>English, German</v>
      </c>
      <c r="K435" s="22">
        <f>IFERROR(__xludf.DUMMYFUNCTION("""COMPUTED_VALUE"""),44613.0)</f>
        <v>44613</v>
      </c>
      <c r="L435" s="23" t="str">
        <f>IFERROR(__xludf.DUMMYFUNCTION("""COMPUTED_VALUE"""),"https://masterplan.com/courses/leitersicherheit")</f>
        <v>https://masterplan.com/courses/leitersicherheit</v>
      </c>
    </row>
    <row r="436">
      <c r="A436" s="6" t="str">
        <f>IFERROR(__xludf.DUMMYFUNCTION("""COMPUTED_VALUE"""),"Entwickle Verständnis für deine Kunden")</f>
        <v>Entwickle Verständnis für deine Kunden</v>
      </c>
      <c r="B436" s="7" t="str">
        <f>IFERROR(__xludf.DUMMYFUNCTION("""COMPUTED_VALUE"""),"Developing Your Customer Empathy")</f>
        <v>Developing Your Customer Empathy</v>
      </c>
      <c r="C436" s="8" t="str">
        <f>IFERROR(__xludf.DUMMYFUNCTION("""COMPUTED_VALUE"""),"Empathie ist eine wichtige Fähigkeit im Kundenservice, die dir helfen kann, dein Unternehmen bestmöglich zu repräsentieren. In diesem i Am Learning Kurs lernst du, wie du verschiedene Arten von Empathie erkennst und einsetzt, um mit deiner Kundschaft rich"&amp;"tig umzugehen.")</f>
        <v>Empathie ist eine wichtige Fähigkeit im Kundenservice, die dir helfen kann, dein Unternehmen bestmöglich zu repräsentieren. In diesem i Am Learning Kurs lernst du, wie du verschiedene Arten von Empathie erkennst und einsetzt, um mit deiner Kundschaft richtig umzugehen.</v>
      </c>
      <c r="D436" s="8" t="str">
        <f>IFERROR(__xludf.DUMMYFUNCTION("""COMPUTED_VALUE"""),"Empathy is a vital skill for customer service that can help you represent your company in the best way possible. In this i Am Learning course, you'll learn how to recognize different types of empathy and how to use it so you can respond to customers in th"&amp;"e right way.")</f>
        <v>Empathy is a vital skill for customer service that can help you represent your company in the best way possible. In this i Am Learning course, you'll learn how to recognize different types of empathy and how to use it so you can respond to customers in the right way.</v>
      </c>
      <c r="E436" s="9" t="str">
        <f>IFERROR(__xludf.DUMMYFUNCTION("""COMPUTED_VALUE"""),"Global Citizenship")</f>
        <v>Global Citizenship</v>
      </c>
      <c r="F436" s="10" t="str">
        <f>IFERROR(__xludf.DUMMYFUNCTION("""COMPUTED_VALUE"""),"iAM Learning")</f>
        <v>iAM Learning</v>
      </c>
      <c r="G436" s="11">
        <f>IFERROR(__xludf.DUMMYFUNCTION("""COMPUTED_VALUE"""),8.0)</f>
        <v>8</v>
      </c>
      <c r="H436" s="11">
        <f>IFERROR(__xludf.DUMMYFUNCTION("""COMPUTED_VALUE"""),13.0)</f>
        <v>13</v>
      </c>
      <c r="I436" s="12" t="str">
        <f>IFERROR(__xludf.DUMMYFUNCTION("""COMPUTED_VALUE"""),"English, German")</f>
        <v>English, German</v>
      </c>
      <c r="J436" s="12" t="str">
        <f>IFERROR(__xludf.DUMMYFUNCTION("""COMPUTED_VALUE"""),"English, German")</f>
        <v>English, German</v>
      </c>
      <c r="K436" s="13">
        <f>IFERROR(__xludf.DUMMYFUNCTION("""COMPUTED_VALUE"""),44610.0)</f>
        <v>44610</v>
      </c>
      <c r="L436" s="14" t="str">
        <f>IFERROR(__xludf.DUMMYFUNCTION("""COMPUTED_VALUE"""),"https://masterplan.com/courses/verstaendnis-kunden")</f>
        <v>https://masterplan.com/courses/verstaendnis-kunden</v>
      </c>
    </row>
    <row r="437">
      <c r="A437" s="15" t="str">
        <f>IFERROR(__xludf.DUMMYFUNCTION("""COMPUTED_VALUE"""),"Interne Verlinkung: Gezielt Google Ranking optimieren")</f>
        <v>Interne Verlinkung: Gezielt Google Ranking optimieren</v>
      </c>
      <c r="B437" s="16" t="str">
        <f>IFERROR(__xludf.DUMMYFUNCTION("""COMPUTED_VALUE"""),"n.a.")</f>
        <v>n.a.</v>
      </c>
      <c r="C437" s="17" t="str">
        <f>IFERROR(__xludf.DUMMYFUNCTION("""COMPUTED_VALUE"""),"Eine wichtige deiner Seiten soll ohne Backlinks ranken? Interne Verlinkungen sind hier der Schlüssel. Der Kurs hält dazu zehn Grundregeln, fünf klassische Fehler und drei hilfreiche SEO-Tools für interne Verlinkung bereit.")</f>
        <v>Eine wichtige deiner Seiten soll ohne Backlinks ranken? Interne Verlinkungen sind hier der Schlüssel. Der Kurs hält dazu zehn Grundregeln, fünf klassische Fehler und drei hilfreiche SEO-Tools für interne Verlinkung bereit.</v>
      </c>
      <c r="D437" s="17" t="str">
        <f>IFERROR(__xludf.DUMMYFUNCTION("""COMPUTED_VALUE"""),"n.a.")</f>
        <v>n.a.</v>
      </c>
      <c r="E437" s="9" t="str">
        <f>IFERROR(__xludf.DUMMYFUNCTION("""COMPUTED_VALUE"""),"Global Citizenship")</f>
        <v>Global Citizenship</v>
      </c>
      <c r="F437" s="19" t="str">
        <f>IFERROR(__xludf.DUMMYFUNCTION("""COMPUTED_VALUE"""),"Evergreen Media - Alexander Rus")</f>
        <v>Evergreen Media - Alexander Rus</v>
      </c>
      <c r="G437" s="20">
        <f>IFERROR(__xludf.DUMMYFUNCTION("""COMPUTED_VALUE"""),27.0)</f>
        <v>27</v>
      </c>
      <c r="H437" s="20">
        <f>IFERROR(__xludf.DUMMYFUNCTION("""COMPUTED_VALUE"""),19.0)</f>
        <v>19</v>
      </c>
      <c r="I437" s="21" t="str">
        <f>IFERROR(__xludf.DUMMYFUNCTION("""COMPUTED_VALUE"""),"German")</f>
        <v>German</v>
      </c>
      <c r="J437" s="21" t="str">
        <f>IFERROR(__xludf.DUMMYFUNCTION("""COMPUTED_VALUE"""),"German")</f>
        <v>German</v>
      </c>
      <c r="K437" s="22">
        <f>IFERROR(__xludf.DUMMYFUNCTION("""COMPUTED_VALUE"""),44607.0)</f>
        <v>44607</v>
      </c>
      <c r="L437" s="23" t="str">
        <f>IFERROR(__xludf.DUMMYFUNCTION("""COMPUTED_VALUE"""),"https://masterplan.com/courses/interne-verlinkung")</f>
        <v>https://masterplan.com/courses/interne-verlinkung</v>
      </c>
    </row>
    <row r="438">
      <c r="A438" s="6" t="str">
        <f>IFERROR(__xludf.DUMMYFUNCTION("""COMPUTED_VALUE"""),"Ist dein SEO-Wissen aktuell?")</f>
        <v>Ist dein SEO-Wissen aktuell?</v>
      </c>
      <c r="B438" s="7" t="str">
        <f>IFERROR(__xludf.DUMMYFUNCTION("""COMPUTED_VALUE"""),"n.a.")</f>
        <v>n.a.</v>
      </c>
      <c r="C438" s="8" t="str">
        <f>IFERROR(__xludf.DUMMYFUNCTION("""COMPUTED_VALUE"""),"Millionenverluste durch SEO-Wissenslücken? Wie du im Kurs erfährst, kann das wirklich passieren. Welche Probleme solltest du nicht unterschätzen? Wie kannst du ihnen vorbeugen? Befolge diese sieben faktenbasierte Ratschläge und vermeide dadurch gängige SE"&amp;"O-Fehler.")</f>
        <v>Millionenverluste durch SEO-Wissenslücken? Wie du im Kurs erfährst, kann das wirklich passieren. Welche Probleme solltest du nicht unterschätzen? Wie kannst du ihnen vorbeugen? Befolge diese sieben faktenbasierte Ratschläge und vermeide dadurch gängige SEO-Fehler.</v>
      </c>
      <c r="D438" s="8" t="str">
        <f>IFERROR(__xludf.DUMMYFUNCTION("""COMPUTED_VALUE"""),"n.a.")</f>
        <v>n.a.</v>
      </c>
      <c r="E438" s="9" t="str">
        <f>IFERROR(__xludf.DUMMYFUNCTION("""COMPUTED_VALUE"""),"Global Citizenship")</f>
        <v>Global Citizenship</v>
      </c>
      <c r="F438" s="10" t="str">
        <f>IFERROR(__xludf.DUMMYFUNCTION("""COMPUTED_VALUE"""),"Evergreen Media - Alexander Rus")</f>
        <v>Evergreen Media - Alexander Rus</v>
      </c>
      <c r="G438" s="11">
        <f>IFERROR(__xludf.DUMMYFUNCTION("""COMPUTED_VALUE"""),37.0)</f>
        <v>37</v>
      </c>
      <c r="H438" s="11">
        <f>IFERROR(__xludf.DUMMYFUNCTION("""COMPUTED_VALUE"""),13.0)</f>
        <v>13</v>
      </c>
      <c r="I438" s="12" t="str">
        <f>IFERROR(__xludf.DUMMYFUNCTION("""COMPUTED_VALUE"""),"German")</f>
        <v>German</v>
      </c>
      <c r="J438" s="12" t="str">
        <f>IFERROR(__xludf.DUMMYFUNCTION("""COMPUTED_VALUE"""),"German")</f>
        <v>German</v>
      </c>
      <c r="K438" s="13">
        <f>IFERROR(__xludf.DUMMYFUNCTION("""COMPUTED_VALUE"""),44606.0)</f>
        <v>44606</v>
      </c>
      <c r="L438" s="14" t="str">
        <f>IFERROR(__xludf.DUMMYFUNCTION("""COMPUTED_VALUE"""),"https://masterplan.com/courses/seo-wissen-aktuell")</f>
        <v>https://masterplan.com/courses/seo-wissen-aktuell</v>
      </c>
    </row>
    <row r="439">
      <c r="A439" s="15" t="str">
        <f>IFERROR(__xludf.DUMMYFUNCTION("""COMPUTED_VALUE"""),"Backlinks aufbauen: Sieben Linkbuilding-Taktiken")</f>
        <v>Backlinks aufbauen: Sieben Linkbuilding-Taktiken</v>
      </c>
      <c r="B439" s="16" t="str">
        <f>IFERROR(__xludf.DUMMYFUNCTION("""COMPUTED_VALUE"""),"n.a.")</f>
        <v>n.a.</v>
      </c>
      <c r="C439" s="17" t="str">
        <f>IFERROR(__xludf.DUMMYFUNCTION("""COMPUTED_VALUE"""),"Backlinks haben für deine Website viele Vorteile. Sie erhöhen die Seriosität deiner Website und sorgen für mehr Traffic. Aktives Linkbuilding ist hier gefragt. Doch was gilt es zu beachten? In diesem Kurs erhältst du von unserem SEO-Experten Alexander Rus"&amp;" sieben Tipps!")</f>
        <v>Backlinks haben für deine Website viele Vorteile. Sie erhöhen die Seriosität deiner Website und sorgen für mehr Traffic. Aktives Linkbuilding ist hier gefragt. Doch was gilt es zu beachten? In diesem Kurs erhältst du von unserem SEO-Experten Alexander Rus sieben Tipps!</v>
      </c>
      <c r="D439" s="17" t="str">
        <f>IFERROR(__xludf.DUMMYFUNCTION("""COMPUTED_VALUE"""),"n.a.")</f>
        <v>n.a.</v>
      </c>
      <c r="E439" s="9" t="str">
        <f>IFERROR(__xludf.DUMMYFUNCTION("""COMPUTED_VALUE"""),"Global Citizenship")</f>
        <v>Global Citizenship</v>
      </c>
      <c r="F439" s="19" t="str">
        <f>IFERROR(__xludf.DUMMYFUNCTION("""COMPUTED_VALUE"""),"Evergreen Media - Alexander Rus")</f>
        <v>Evergreen Media - Alexander Rus</v>
      </c>
      <c r="G439" s="20">
        <f>IFERROR(__xludf.DUMMYFUNCTION("""COMPUTED_VALUE"""),37.0)</f>
        <v>37</v>
      </c>
      <c r="H439" s="20">
        <f>IFERROR(__xludf.DUMMYFUNCTION("""COMPUTED_VALUE"""),21.0)</f>
        <v>21</v>
      </c>
      <c r="I439" s="21" t="str">
        <f>IFERROR(__xludf.DUMMYFUNCTION("""COMPUTED_VALUE"""),"German")</f>
        <v>German</v>
      </c>
      <c r="J439" s="21" t="str">
        <f>IFERROR(__xludf.DUMMYFUNCTION("""COMPUTED_VALUE"""),"German")</f>
        <v>German</v>
      </c>
      <c r="K439" s="22">
        <f>IFERROR(__xludf.DUMMYFUNCTION("""COMPUTED_VALUE"""),44601.0)</f>
        <v>44601</v>
      </c>
      <c r="L439" s="23" t="str">
        <f>IFERROR(__xludf.DUMMYFUNCTION("""COMPUTED_VALUE"""),"https://masterplan.com/courses/backlinks-aufbauen")</f>
        <v>https://masterplan.com/courses/backlinks-aufbauen</v>
      </c>
    </row>
    <row r="440">
      <c r="A440" s="6" t="str">
        <f>IFERROR(__xludf.DUMMYFUNCTION("""COMPUTED_VALUE"""),"Warum du 80% deiner Fortbildungen vergisst")</f>
        <v>Warum du 80% deiner Fortbildungen vergisst</v>
      </c>
      <c r="B440" s="7" t="str">
        <f>IFERROR(__xludf.DUMMYFUNCTION("""COMPUTED_VALUE"""),"Why 80% of Training Does Not Stick")</f>
        <v>Why 80% of Training Does Not Stick</v>
      </c>
      <c r="C440" s="8" t="str">
        <f>IFERROR(__xludf.DUMMYFUNCTION("""COMPUTED_VALUE"""),"Ob Seminar oder Schulung – ganze 80% der vermittelten Lerninhalte geraten laut einer Studie nach 30 Tagen in Vergessenheit. Erfahre, wie du Lerninhalte effektiver gestaltest. Mit vier einfachen Methoden hilfst du deinen Mitarbeiter:innen dabei, Lerninhalt"&amp;"e zu festigen.")</f>
        <v>Ob Seminar oder Schulung – ganze 80% der vermittelten Lerninhalte geraten laut einer Studie nach 30 Tagen in Vergessenheit. Erfahre, wie du Lerninhalte effektiver gestaltest. Mit vier einfachen Methoden hilfst du deinen Mitarbeiter:innen dabei, Lerninhalte zu festigen.</v>
      </c>
      <c r="D440" s="8" t="str">
        <f>IFERROR(__xludf.DUMMYFUNCTION("""COMPUTED_VALUE"""),"Studies show that 30 days after training, we remember about 20% of what we learned. So how can we make training stick? In this Quick Take, you'll learn how to make training more effective, plus the Four R method to help your team retain what they learned.")</f>
        <v>Studies show that 30 days after training, we remember about 20% of what we learned. So how can we make training stick? In this Quick Take, you'll learn how to make training more effective, plus the Four R method to help your team retain what they learned.</v>
      </c>
      <c r="E440" s="24" t="str">
        <f>IFERROR(__xludf.DUMMYFUNCTION("""COMPUTED_VALUE"""),"Emotional Intelligence")</f>
        <v>Emotional Intelligence</v>
      </c>
      <c r="F440" s="10" t="str">
        <f>IFERROR(__xludf.DUMMYFUNCTION("""COMPUTED_VALUE"""),"Rapid Learning – a bts company")</f>
        <v>Rapid Learning – a bts company</v>
      </c>
      <c r="G440" s="11">
        <f>IFERROR(__xludf.DUMMYFUNCTION("""COMPUTED_VALUE"""),8.0)</f>
        <v>8</v>
      </c>
      <c r="H440" s="11">
        <f>IFERROR(__xludf.DUMMYFUNCTION("""COMPUTED_VALUE"""),4.0)</f>
        <v>4</v>
      </c>
      <c r="I440" s="12" t="str">
        <f>IFERROR(__xludf.DUMMYFUNCTION("""COMPUTED_VALUE"""),"English, German")</f>
        <v>English, German</v>
      </c>
      <c r="J440" s="12" t="str">
        <f>IFERROR(__xludf.DUMMYFUNCTION("""COMPUTED_VALUE"""),"English, German")</f>
        <v>English, German</v>
      </c>
      <c r="K440" s="13">
        <f>IFERROR(__xludf.DUMMYFUNCTION("""COMPUTED_VALUE"""),44593.0)</f>
        <v>44593</v>
      </c>
      <c r="L440" s="14" t="str">
        <f>IFERROR(__xludf.DUMMYFUNCTION("""COMPUTED_VALUE"""),"https://masterplan.com/courses/warum-du-80-deiner-fortbildungen-vergisst")</f>
        <v>https://masterplan.com/courses/warum-du-80-deiner-fortbildungen-vergisst</v>
      </c>
    </row>
    <row r="441">
      <c r="A441" s="15" t="str">
        <f>IFERROR(__xludf.DUMMYFUNCTION("""COMPUTED_VALUE"""),"Eigene Masterplan-Kurse erstellen leicht gemacht")</f>
        <v>Eigene Masterplan-Kurse erstellen leicht gemacht</v>
      </c>
      <c r="B441" s="16" t="str">
        <f>IFERROR(__xludf.DUMMYFUNCTION("""COMPUTED_VALUE"""),"Masterplan Courses: The Easy Way To Create Your Own")</f>
        <v>Masterplan Courses: The Easy Way To Create Your Own</v>
      </c>
      <c r="C441" s="17" t="str">
        <f>IFERROR(__xludf.DUMMYFUNCTION("""COMPUTED_VALUE"""),"Möchtest du weg von Präsenztrainings und hin zu effizienten Onlinetrainings, die du ganz einfach und kostengünstig erstellen kannst? Wir leiten dich durch alle nötigen Schritte, von Skript-Erstellung über Dreh bis hin zum Videoschnitt und Hochladen deines"&amp;" Kurses.")</f>
        <v>Möchtest du weg von Präsenztrainings und hin zu effizienten Onlinetrainings, die du ganz einfach und kostengünstig erstellen kannst? Wir leiten dich durch alle nötigen Schritte, von Skript-Erstellung über Dreh bis hin zum Videoschnitt und Hochladen deines Kurses.</v>
      </c>
      <c r="D441" s="17" t="str">
        <f>IFERROR(__xludf.DUMMYFUNCTION("""COMPUTED_VALUE"""),"Do you want to move past in-person trainings towards efficient online trainings that are easy and cheap to produce? We will guide you through all the necessary steps from script-writing to recording to cutting and uploading your course.")</f>
        <v>Do you want to move past in-person trainings towards efficient online trainings that are easy and cheap to produce? We will guide you through all the necessary steps from script-writing to recording to cutting and uploading your course.</v>
      </c>
      <c r="E441" s="27" t="str">
        <f>IFERROR(__xludf.DUMMYFUNCTION("""COMPUTED_VALUE"""),"Tools &amp; Tutorials")</f>
        <v>Tools &amp; Tutorials</v>
      </c>
      <c r="F441" s="19" t="str">
        <f>IFERROR(__xludf.DUMMYFUNCTION("""COMPUTED_VALUE"""),"Masterplan com GmbH - Matthias Kumer")</f>
        <v>Masterplan com GmbH - Matthias Kumer</v>
      </c>
      <c r="G441" s="20">
        <f>IFERROR(__xludf.DUMMYFUNCTION("""COMPUTED_VALUE"""),43.0)</f>
        <v>43</v>
      </c>
      <c r="H441" s="20">
        <f>IFERROR(__xludf.DUMMYFUNCTION("""COMPUTED_VALUE"""),19.0)</f>
        <v>19</v>
      </c>
      <c r="I441" s="21" t="str">
        <f>IFERROR(__xludf.DUMMYFUNCTION("""COMPUTED_VALUE"""),"German, English")</f>
        <v>German, English</v>
      </c>
      <c r="J441" s="21" t="str">
        <f>IFERROR(__xludf.DUMMYFUNCTION("""COMPUTED_VALUE"""),"English, German")</f>
        <v>English, German</v>
      </c>
      <c r="K441" s="22">
        <f>IFERROR(__xludf.DUMMYFUNCTION("""COMPUTED_VALUE"""),44592.0)</f>
        <v>44592</v>
      </c>
      <c r="L441" s="23" t="str">
        <f>IFERROR(__xludf.DUMMYFUNCTION("""COMPUTED_VALUE"""),"https://masterplan.com/courses/eigene-masterplan-kurse")</f>
        <v>https://masterplan.com/courses/eigene-masterplan-kurse</v>
      </c>
    </row>
    <row r="442">
      <c r="A442" s="6" t="str">
        <f>IFERROR(__xludf.DUMMYFUNCTION("""COMPUTED_VALUE"""),"Neuigkeiten in KI &amp; Tech")</f>
        <v>Neuigkeiten in KI &amp; Tech</v>
      </c>
      <c r="B442" s="7" t="str">
        <f>IFERROR(__xludf.DUMMYFUNCTION("""COMPUTED_VALUE"""),"News in AI &amp; Tech")</f>
        <v>News in AI &amp; Tech</v>
      </c>
      <c r="C442" s="8" t="str">
        <f>IFERROR(__xludf.DUMMYFUNCTION("""COMPUTED_VALUE"""),"Vielleicht hast du das Gefühl, dass du die Welt der KI und Technologie nicht ganz verstehst, aber Gianluca Mauro ist hier, um zu helfen! Er bringt dich auf den neuesten Stand, was in der Welt der KI und Technologie passiert.")</f>
        <v>Vielleicht hast du das Gefühl, dass du die Welt der KI und Technologie nicht ganz verstehst, aber Gianluca Mauro ist hier, um zu helfen! Er bringt dich auf den neuesten Stand, was in der Welt der KI und Technologie passiert.</v>
      </c>
      <c r="D442" s="8" t="str">
        <f>IFERROR(__xludf.DUMMYFUNCTION("""COMPUTED_VALUE"""),"The world of Artificial Intelligence and technology can feel overwhelming but Gianluca Mauro is here to help! In these videos, he shares the newest updates about AI and tech - for experts and beginners alike.")</f>
        <v>The world of Artificial Intelligence and technology can feel overwhelming but Gianluca Mauro is here to help! In these videos, he shares the newest updates about AI and tech - for experts and beginners alike.</v>
      </c>
      <c r="E442" s="25" t="str">
        <f>IFERROR(__xludf.DUMMYFUNCTION("""COMPUTED_VALUE"""),"Digital Literacy")</f>
        <v>Digital Literacy</v>
      </c>
      <c r="F442" s="10" t="str">
        <f>IFERROR(__xludf.DUMMYFUNCTION("""COMPUTED_VALUE"""),"AI Academy - Gianluca Mauro")</f>
        <v>AI Academy - Gianluca Mauro</v>
      </c>
      <c r="G442" s="11">
        <f>IFERROR(__xludf.DUMMYFUNCTION("""COMPUTED_VALUE"""),38.0)</f>
        <v>38</v>
      </c>
      <c r="H442" s="11">
        <f>IFERROR(__xludf.DUMMYFUNCTION("""COMPUTED_VALUE"""),10.0)</f>
        <v>10</v>
      </c>
      <c r="I442" s="12" t="str">
        <f>IFERROR(__xludf.DUMMYFUNCTION("""COMPUTED_VALUE"""),"English, German")</f>
        <v>English, German</v>
      </c>
      <c r="J442" s="12" t="str">
        <f>IFERROR(__xludf.DUMMYFUNCTION("""COMPUTED_VALUE"""),"English")</f>
        <v>English</v>
      </c>
      <c r="K442" s="13">
        <f>IFERROR(__xludf.DUMMYFUNCTION("""COMPUTED_VALUE"""),44592.0)</f>
        <v>44592</v>
      </c>
      <c r="L442" s="14" t="str">
        <f>IFERROR(__xludf.DUMMYFUNCTION("""COMPUTED_VALUE"""),"https://masterplan.com/courses/ai-updates")</f>
        <v>https://masterplan.com/courses/ai-updates</v>
      </c>
    </row>
    <row r="443">
      <c r="A443" s="15" t="str">
        <f>IFERROR(__xludf.DUMMYFUNCTION("""COMPUTED_VALUE"""),"OffPage SEO: 11 maßgebliche Backlink-Faktoren")</f>
        <v>OffPage SEO: 11 maßgebliche Backlink-Faktoren</v>
      </c>
      <c r="B443" s="16" t="str">
        <f>IFERROR(__xludf.DUMMYFUNCTION("""COMPUTED_VALUE"""),"n.a.")</f>
        <v>n.a.</v>
      </c>
      <c r="C443" s="17" t="str">
        <f>IFERROR(__xludf.DUMMYFUNCTION("""COMPUTED_VALUE"""),"Backlinks können deiner Website Autorität und Sichtbarkeit verleihen - vorausgesetzt, es sind hochwertige Links. Welche Faktoren sind für einen guten Backlink ausschlaggebend? In diesem Kurs gibt dir Alex elf wichtige Tipps an die Hand!")</f>
        <v>Backlinks können deiner Website Autorität und Sichtbarkeit verleihen - vorausgesetzt, es sind hochwertige Links. Welche Faktoren sind für einen guten Backlink ausschlaggebend? In diesem Kurs gibt dir Alex elf wichtige Tipps an die Hand!</v>
      </c>
      <c r="D443" s="17" t="str">
        <f>IFERROR(__xludf.DUMMYFUNCTION("""COMPUTED_VALUE"""),"n.a.")</f>
        <v>n.a.</v>
      </c>
      <c r="E443" s="9" t="str">
        <f>IFERROR(__xludf.DUMMYFUNCTION("""COMPUTED_VALUE"""),"Global Citizenship")</f>
        <v>Global Citizenship</v>
      </c>
      <c r="F443" s="19" t="str">
        <f>IFERROR(__xludf.DUMMYFUNCTION("""COMPUTED_VALUE"""),"Evergreen Media - Alexander Rus")</f>
        <v>Evergreen Media - Alexander Rus</v>
      </c>
      <c r="G443" s="20">
        <f>IFERROR(__xludf.DUMMYFUNCTION("""COMPUTED_VALUE"""),37.0)</f>
        <v>37</v>
      </c>
      <c r="H443" s="20">
        <f>IFERROR(__xludf.DUMMYFUNCTION("""COMPUTED_VALUE"""),19.0)</f>
        <v>19</v>
      </c>
      <c r="I443" s="21" t="str">
        <f>IFERROR(__xludf.DUMMYFUNCTION("""COMPUTED_VALUE"""),"German")</f>
        <v>German</v>
      </c>
      <c r="J443" s="21" t="str">
        <f>IFERROR(__xludf.DUMMYFUNCTION("""COMPUTED_VALUE"""),"German")</f>
        <v>German</v>
      </c>
      <c r="K443" s="22">
        <f>IFERROR(__xludf.DUMMYFUNCTION("""COMPUTED_VALUE"""),44592.0)</f>
        <v>44592</v>
      </c>
      <c r="L443" s="23" t="str">
        <f>IFERROR(__xludf.DUMMYFUNCTION("""COMPUTED_VALUE"""),"https://masterplan.com/courses/offpage-seo-backlink")</f>
        <v>https://masterplan.com/courses/offpage-seo-backlink</v>
      </c>
    </row>
    <row r="444">
      <c r="A444" s="6" t="str">
        <f>IFERROR(__xludf.DUMMYFUNCTION("""COMPUTED_VALUE"""),"Suchintention verstehen, User glücklich machen")</f>
        <v>Suchintention verstehen, User glücklich machen</v>
      </c>
      <c r="B444" s="7" t="str">
        <f>IFERROR(__xludf.DUMMYFUNCTION("""COMPUTED_VALUE"""),"n.a.")</f>
        <v>n.a.</v>
      </c>
      <c r="C444" s="8" t="str">
        <f>IFERROR(__xludf.DUMMYFUNCTION("""COMPUTED_VALUE"""),"Nur wenn du weißt, was deine Nutzer:innen wirklich wollen, kann deine Webseite bei Google ganz oben in den Suchergebnissen stehen. Lerne die Ziele deiner User zu verstehen und deine Inhalte daran auszurichten - und sie werden deine Website lieben!")</f>
        <v>Nur wenn du weißt, was deine Nutzer:innen wirklich wollen, kann deine Webseite bei Google ganz oben in den Suchergebnissen stehen. Lerne die Ziele deiner User zu verstehen und deine Inhalte daran auszurichten - und sie werden deine Website lieben!</v>
      </c>
      <c r="D444" s="8" t="str">
        <f>IFERROR(__xludf.DUMMYFUNCTION("""COMPUTED_VALUE"""),"n.a.")</f>
        <v>n.a.</v>
      </c>
      <c r="E444" s="9" t="str">
        <f>IFERROR(__xludf.DUMMYFUNCTION("""COMPUTED_VALUE"""),"Global Citizenship")</f>
        <v>Global Citizenship</v>
      </c>
      <c r="F444" s="10" t="str">
        <f>IFERROR(__xludf.DUMMYFUNCTION("""COMPUTED_VALUE"""),"Evergreen Media - Alexander Rus")</f>
        <v>Evergreen Media - Alexander Rus</v>
      </c>
      <c r="G444" s="11">
        <f>IFERROR(__xludf.DUMMYFUNCTION("""COMPUTED_VALUE"""),37.0)</f>
        <v>37</v>
      </c>
      <c r="H444" s="11">
        <f>IFERROR(__xludf.DUMMYFUNCTION("""COMPUTED_VALUE"""),19.0)</f>
        <v>19</v>
      </c>
      <c r="I444" s="12" t="str">
        <f>IFERROR(__xludf.DUMMYFUNCTION("""COMPUTED_VALUE"""),"German")</f>
        <v>German</v>
      </c>
      <c r="J444" s="12" t="str">
        <f>IFERROR(__xludf.DUMMYFUNCTION("""COMPUTED_VALUE"""),"German")</f>
        <v>German</v>
      </c>
      <c r="K444" s="13">
        <f>IFERROR(__xludf.DUMMYFUNCTION("""COMPUTED_VALUE"""),44582.0)</f>
        <v>44582</v>
      </c>
      <c r="L444" s="14" t="str">
        <f>IFERROR(__xludf.DUMMYFUNCTION("""COMPUTED_VALUE"""),"https://masterplan.com/courses/suchintention-verstehen")</f>
        <v>https://masterplan.com/courses/suchintention-verstehen</v>
      </c>
    </row>
    <row r="445">
      <c r="A445" s="15" t="str">
        <f>IFERROR(__xludf.DUMMYFUNCTION("""COMPUTED_VALUE"""),"OnPage SEO-Checkliste: 13 glasklare Schritte")</f>
        <v>OnPage SEO-Checkliste: 13 glasklare Schritte</v>
      </c>
      <c r="B445" s="16" t="str">
        <f>IFERROR(__xludf.DUMMYFUNCTION("""COMPUTED_VALUE"""),"n.a.")</f>
        <v>n.a.</v>
      </c>
      <c r="C445" s="17" t="str">
        <f>IFERROR(__xludf.DUMMYFUNCTION("""COMPUTED_VALUE"""),"Eine bessere User Experience und mehr Klickzahlen - Was kannst du alles an deiner Website verbessern, um dies zu erreichen? In diesem Kurs lernst du 13 Schritte, mit denen dir dies gelingt - alles unter dem Motto: Mit einfachen Tricks zu mehr Klicks!")</f>
        <v>Eine bessere User Experience und mehr Klickzahlen - Was kannst du alles an deiner Website verbessern, um dies zu erreichen? In diesem Kurs lernst du 13 Schritte, mit denen dir dies gelingt - alles unter dem Motto: Mit einfachen Tricks zu mehr Klicks!</v>
      </c>
      <c r="D445" s="17" t="str">
        <f>IFERROR(__xludf.DUMMYFUNCTION("""COMPUTED_VALUE"""),"n.a.")</f>
        <v>n.a.</v>
      </c>
      <c r="E445" s="9" t="str">
        <f>IFERROR(__xludf.DUMMYFUNCTION("""COMPUTED_VALUE"""),"Global Citizenship")</f>
        <v>Global Citizenship</v>
      </c>
      <c r="F445" s="19" t="str">
        <f>IFERROR(__xludf.DUMMYFUNCTION("""COMPUTED_VALUE"""),"Evergreen Media - Alexander Rus")</f>
        <v>Evergreen Media - Alexander Rus</v>
      </c>
      <c r="G445" s="20">
        <f>IFERROR(__xludf.DUMMYFUNCTION("""COMPUTED_VALUE"""),22.0)</f>
        <v>22</v>
      </c>
      <c r="H445" s="20">
        <f>IFERROR(__xludf.DUMMYFUNCTION("""COMPUTED_VALUE"""),16.0)</f>
        <v>16</v>
      </c>
      <c r="I445" s="21" t="str">
        <f>IFERROR(__xludf.DUMMYFUNCTION("""COMPUTED_VALUE"""),"German")</f>
        <v>German</v>
      </c>
      <c r="J445" s="21" t="str">
        <f>IFERROR(__xludf.DUMMYFUNCTION("""COMPUTED_VALUE"""),"German")</f>
        <v>German</v>
      </c>
      <c r="K445" s="22">
        <f>IFERROR(__xludf.DUMMYFUNCTION("""COMPUTED_VALUE"""),44579.0)</f>
        <v>44579</v>
      </c>
      <c r="L445" s="23" t="str">
        <f>IFERROR(__xludf.DUMMYFUNCTION("""COMPUTED_VALUE"""),"https://masterplan.com/courses/onpage-seo-checkliste")</f>
        <v>https://masterplan.com/courses/onpage-seo-checkliste</v>
      </c>
    </row>
    <row r="446">
      <c r="A446" s="6" t="str">
        <f>IFERROR(__xludf.DUMMYFUNCTION("""COMPUTED_VALUE"""),"Remote arbeiten und führen")</f>
        <v>Remote arbeiten und führen</v>
      </c>
      <c r="B446" s="7" t="str">
        <f>IFERROR(__xludf.DUMMYFUNCTION("""COMPUTED_VALUE"""),"Working and Leading Remotely")</f>
        <v>Working and Leading Remotely</v>
      </c>
      <c r="C446" s="8" t="str">
        <f>IFERROR(__xludf.DUMMYFUNCTION("""COMPUTED_VALUE"""),"Das Aufkommen der Remote-Arbeit ist aktuell eine der größten Herausforderungen von Führungskräften. In diesem Kurs teilen Führungspersönlichkeiten und Mitarbeitende ihre Erfahrungen - vom Aufbau deines Home Office bis hin zur Kommunikation mit deinem Team"&amp;".")</f>
        <v>Das Aufkommen der Remote-Arbeit ist aktuell eine der größten Herausforderungen von Führungskräften. In diesem Kurs teilen Führungspersönlichkeiten und Mitarbeitende ihre Erfahrungen - vom Aufbau deines Home Office bis hin zur Kommunikation mit deinem Team.</v>
      </c>
      <c r="D446" s="8" t="str">
        <f>IFERROR(__xludf.DUMMYFUNCTION("""COMPUTED_VALUE"""),"The rise of remote work has been one of the greatest challenges for leaders in recent history. In this course, you'll hear from business leaders and professionals about managing remote work– from your home office setup, to communicating and connecting wit"&amp;"h your team.")</f>
        <v>The rise of remote work has been one of the greatest challenges for leaders in recent history. In this course, you'll hear from business leaders and professionals about managing remote work– from your home office setup, to communicating and connecting with your team.</v>
      </c>
      <c r="E446" s="26" t="str">
        <f>IFERROR(__xludf.DUMMYFUNCTION("""COMPUTED_VALUE"""),"Collaboration and Leadership")</f>
        <v>Collaboration and Leadership</v>
      </c>
      <c r="F446" s="10" t="str">
        <f>IFERROR(__xludf.DUMMYFUNCTION("""COMPUTED_VALUE"""),"GoDaddy")</f>
        <v>GoDaddy</v>
      </c>
      <c r="G446" s="11">
        <f>IFERROR(__xludf.DUMMYFUNCTION("""COMPUTED_VALUE"""),27.0)</f>
        <v>27</v>
      </c>
      <c r="H446" s="11">
        <f>IFERROR(__xludf.DUMMYFUNCTION("""COMPUTED_VALUE"""),14.0)</f>
        <v>14</v>
      </c>
      <c r="I446" s="12" t="str">
        <f>IFERROR(__xludf.DUMMYFUNCTION("""COMPUTED_VALUE"""),"English, German")</f>
        <v>English, German</v>
      </c>
      <c r="J446" s="12" t="str">
        <f>IFERROR(__xludf.DUMMYFUNCTION("""COMPUTED_VALUE"""),"English")</f>
        <v>English</v>
      </c>
      <c r="K446" s="13">
        <f>IFERROR(__xludf.DUMMYFUNCTION("""COMPUTED_VALUE"""),44553.0)</f>
        <v>44553</v>
      </c>
      <c r="L446" s="14" t="str">
        <f>IFERROR(__xludf.DUMMYFUNCTION("""COMPUTED_VALUE"""),"https://masterplan.com/courses/remote-arbeiten-und-fuehren")</f>
        <v>https://masterplan.com/courses/remote-arbeiten-und-fuehren</v>
      </c>
    </row>
    <row r="447">
      <c r="A447" s="15" t="str">
        <f>IFERROR(__xludf.DUMMYFUNCTION("""COMPUTED_VALUE"""),"Sales Impulse")</f>
        <v>Sales Impulse</v>
      </c>
      <c r="B447" s="16" t="str">
        <f>IFERROR(__xludf.DUMMYFUNCTION("""COMPUTED_VALUE"""),"n.a.")</f>
        <v>n.a.</v>
      </c>
      <c r="C447" s="17" t="str">
        <f>IFERROR(__xludf.DUMMYFUNCTION("""COMPUTED_VALUE"""),"In der Podcast-Serie ""Sales Impulse"" von Unfck Sales findest du ab jetzt regelmäßig neue Ideen und Tricks rund um das Thema Vertrieb mit unserem Experten Morten Wolff.")</f>
        <v>In der Podcast-Serie "Sales Impulse" von Unfck Sales findest du ab jetzt regelmäßig neue Ideen und Tricks rund um das Thema Vertrieb mit unserem Experten Morten Wolff.</v>
      </c>
      <c r="D447" s="17" t="str">
        <f>IFERROR(__xludf.DUMMYFUNCTION("""COMPUTED_VALUE"""),"n.a.")</f>
        <v>n.a.</v>
      </c>
      <c r="E447" s="9" t="str">
        <f>IFERROR(__xludf.DUMMYFUNCTION("""COMPUTED_VALUE"""),"Global Citizenship")</f>
        <v>Global Citizenship</v>
      </c>
      <c r="F447" s="19" t="str">
        <f>IFERROR(__xludf.DUMMYFUNCTION("""COMPUTED_VALUE"""),"Morten Wolff - Morten Wolff")</f>
        <v>Morten Wolff - Morten Wolff</v>
      </c>
      <c r="G447" s="20">
        <f>IFERROR(__xludf.DUMMYFUNCTION("""COMPUTED_VALUE"""),27.0)</f>
        <v>27</v>
      </c>
      <c r="H447" s="20">
        <f>IFERROR(__xludf.DUMMYFUNCTION("""COMPUTED_VALUE"""),4.0)</f>
        <v>4</v>
      </c>
      <c r="I447" s="21" t="str">
        <f>IFERROR(__xludf.DUMMYFUNCTION("""COMPUTED_VALUE"""),"German")</f>
        <v>German</v>
      </c>
      <c r="J447" s="21" t="str">
        <f>IFERROR(__xludf.DUMMYFUNCTION("""COMPUTED_VALUE"""),"German")</f>
        <v>German</v>
      </c>
      <c r="K447" s="22">
        <f>IFERROR(__xludf.DUMMYFUNCTION("""COMPUTED_VALUE"""),44552.0)</f>
        <v>44552</v>
      </c>
      <c r="L447" s="23" t="str">
        <f>IFERROR(__xludf.DUMMYFUNCTION("""COMPUTED_VALUE"""),"https://masterplan.com/courses/sales-impulse")</f>
        <v>https://masterplan.com/courses/sales-impulse</v>
      </c>
    </row>
    <row r="448">
      <c r="A448" s="6" t="str">
        <f>IFERROR(__xludf.DUMMYFUNCTION("""COMPUTED_VALUE"""),"Einen gesunden Arbeitsplatz schaffen")</f>
        <v>Einen gesunden Arbeitsplatz schaffen</v>
      </c>
      <c r="B448" s="7" t="str">
        <f>IFERROR(__xludf.DUMMYFUNCTION("""COMPUTED_VALUE"""),"Creating a Healthy Workplace")</f>
        <v>Creating a Healthy Workplace</v>
      </c>
      <c r="C448" s="8" t="str">
        <f>IFERROR(__xludf.DUMMYFUNCTION("""COMPUTED_VALUE"""),"Die Forschung zeigt, dass gesunde Mitarbeiter:innen auch motivierte Mitarbeiter:innen sind. Wie kann der Arbeitsplatz zu einem gesunden Umfeld gemacht werden, welcher zu Höchstleistungen anspornt? Hier erhältst du einfach umzusetzende Tipps, mit denen du "&amp;"dich gesund halten kannst.")</f>
        <v>Die Forschung zeigt, dass gesunde Mitarbeiter:innen auch motivierte Mitarbeiter:innen sind. Wie kann der Arbeitsplatz zu einem gesunden Umfeld gemacht werden, welcher zu Höchstleistungen anspornt? Hier erhältst du einfach umzusetzende Tipps, mit denen du dich gesund halten kannst.</v>
      </c>
      <c r="D448" s="8" t="str">
        <f>IFERROR(__xludf.DUMMYFUNCTION("""COMPUTED_VALUE"""),"Research shows that healthy employees are productive employees. What can you do to make your workplace a healthy environment that inspires you and your colleagues to do your best work? Here you'll learn easy-to-implement tips to keep yourself happy and he"&amp;"althy at work.")</f>
        <v>Research shows that healthy employees are productive employees. What can you do to make your workplace a healthy environment that inspires you and your colleagues to do your best work? Here you'll learn easy-to-implement tips to keep yourself happy and healthy at work.</v>
      </c>
      <c r="E448" s="9" t="str">
        <f>IFERROR(__xludf.DUMMYFUNCTION("""COMPUTED_VALUE"""),"Global Citizenship")</f>
        <v>Global Citizenship</v>
      </c>
      <c r="F448" s="10" t="str">
        <f>IFERROR(__xludf.DUMMYFUNCTION("""COMPUTED_VALUE"""),"GoDaddy")</f>
        <v>GoDaddy</v>
      </c>
      <c r="G448" s="11">
        <f>IFERROR(__xludf.DUMMYFUNCTION("""COMPUTED_VALUE"""),27.0)</f>
        <v>27</v>
      </c>
      <c r="H448" s="11">
        <f>IFERROR(__xludf.DUMMYFUNCTION("""COMPUTED_VALUE"""),11.0)</f>
        <v>11</v>
      </c>
      <c r="I448" s="12" t="str">
        <f>IFERROR(__xludf.DUMMYFUNCTION("""COMPUTED_VALUE"""),"English, German")</f>
        <v>English, German</v>
      </c>
      <c r="J448" s="12" t="str">
        <f>IFERROR(__xludf.DUMMYFUNCTION("""COMPUTED_VALUE"""),"English")</f>
        <v>English</v>
      </c>
      <c r="K448" s="13">
        <f>IFERROR(__xludf.DUMMYFUNCTION("""COMPUTED_VALUE"""),44552.0)</f>
        <v>44552</v>
      </c>
      <c r="L448" s="14" t="str">
        <f>IFERROR(__xludf.DUMMYFUNCTION("""COMPUTED_VALUE"""),"https://masterplan.com/courses/einen-gesunden-arbeitsplatz-schaffen")</f>
        <v>https://masterplan.com/courses/einen-gesunden-arbeitsplatz-schaffen</v>
      </c>
    </row>
    <row r="449">
      <c r="A449" s="15" t="str">
        <f>IFERROR(__xludf.DUMMYFUNCTION("""COMPUTED_VALUE"""),"SEO-Strategie leicht gemacht")</f>
        <v>SEO-Strategie leicht gemacht</v>
      </c>
      <c r="B449" s="16" t="str">
        <f>IFERROR(__xludf.DUMMYFUNCTION("""COMPUTED_VALUE"""),"n.a.")</f>
        <v>n.a.</v>
      </c>
      <c r="C449" s="17" t="str">
        <f>IFERROR(__xludf.DUMMYFUNCTION("""COMPUTED_VALUE"""),"Hast du erst mal verstanden, welche die drei Grundbausteine für deine SEO-Strategie sind, fällt es dir mit diesem Kurs ganz leicht, deinen eigenen SEO-Fahrplan aufzustellen. Finde heraus, wie du gegenüber der Konkurrenz aufgestellt bist und setze deine Pr"&amp;"ioritäten!")</f>
        <v>Hast du erst mal verstanden, welche die drei Grundbausteine für deine SEO-Strategie sind, fällt es dir mit diesem Kurs ganz leicht, deinen eigenen SEO-Fahrplan aufzustellen. Finde heraus, wie du gegenüber der Konkurrenz aufgestellt bist und setze deine Prioritäten!</v>
      </c>
      <c r="D449" s="17" t="str">
        <f>IFERROR(__xludf.DUMMYFUNCTION("""COMPUTED_VALUE"""),"n.a.")</f>
        <v>n.a.</v>
      </c>
      <c r="E449" s="9" t="str">
        <f>IFERROR(__xludf.DUMMYFUNCTION("""COMPUTED_VALUE"""),"Global Citizenship")</f>
        <v>Global Citizenship</v>
      </c>
      <c r="F449" s="19" t="str">
        <f>IFERROR(__xludf.DUMMYFUNCTION("""COMPUTED_VALUE"""),"Evergreen Media - Alexander Rus")</f>
        <v>Evergreen Media - Alexander Rus</v>
      </c>
      <c r="G449" s="20">
        <f>IFERROR(__xludf.DUMMYFUNCTION("""COMPUTED_VALUE"""),22.0)</f>
        <v>22</v>
      </c>
      <c r="H449" s="20">
        <f>IFERROR(__xludf.DUMMYFUNCTION("""COMPUTED_VALUE"""),16.0)</f>
        <v>16</v>
      </c>
      <c r="I449" s="21" t="str">
        <f>IFERROR(__xludf.DUMMYFUNCTION("""COMPUTED_VALUE"""),"German")</f>
        <v>German</v>
      </c>
      <c r="J449" s="21" t="str">
        <f>IFERROR(__xludf.DUMMYFUNCTION("""COMPUTED_VALUE"""),"German")</f>
        <v>German</v>
      </c>
      <c r="K449" s="22">
        <f>IFERROR(__xludf.DUMMYFUNCTION("""COMPUTED_VALUE"""),44551.0)</f>
        <v>44551</v>
      </c>
      <c r="L449" s="23" t="str">
        <f>IFERROR(__xludf.DUMMYFUNCTION("""COMPUTED_VALUE"""),"https://masterplan.com/courses/seo-strategie-leicht-gemacht")</f>
        <v>https://masterplan.com/courses/seo-strategie-leicht-gemacht</v>
      </c>
    </row>
    <row r="450">
      <c r="A450" s="6" t="str">
        <f>IFERROR(__xludf.DUMMYFUNCTION("""COMPUTED_VALUE"""),"SEO einfach und schnell erklärt")</f>
        <v>SEO einfach und schnell erklärt</v>
      </c>
      <c r="B450" s="7" t="str">
        <f>IFERROR(__xludf.DUMMYFUNCTION("""COMPUTED_VALUE"""),"n.a.")</f>
        <v>n.a.</v>
      </c>
      <c r="C450" s="8" t="str">
        <f>IFERROR(__xludf.DUMMYFUNCTION("""COMPUTED_VALUE"""),"Du hast von SEO gehört, aber kannst dir darunter nichts vorstellen? Oder suchst du nach Ideen, wie du SEO deinen Teammitgliedern erklären kannst? In diesem Kurs findest du sechs einfache Metaphern, mit denen du SEO verstehen und SEO-Begriffe einfacher erk"&amp;"lären kannst.")</f>
        <v>Du hast von SEO gehört, aber kannst dir darunter nichts vorstellen? Oder suchst du nach Ideen, wie du SEO deinen Teammitgliedern erklären kannst? In diesem Kurs findest du sechs einfache Metaphern, mit denen du SEO verstehen und SEO-Begriffe einfacher erklären kannst.</v>
      </c>
      <c r="D450" s="8" t="str">
        <f>IFERROR(__xludf.DUMMYFUNCTION("""COMPUTED_VALUE"""),"n.a.")</f>
        <v>n.a.</v>
      </c>
      <c r="E450" s="9" t="str">
        <f>IFERROR(__xludf.DUMMYFUNCTION("""COMPUTED_VALUE"""),"Global Citizenship")</f>
        <v>Global Citizenship</v>
      </c>
      <c r="F450" s="10" t="str">
        <f>IFERROR(__xludf.DUMMYFUNCTION("""COMPUTED_VALUE"""),"Evergreen Media - Alexander Rus")</f>
        <v>Evergreen Media - Alexander Rus</v>
      </c>
      <c r="G450" s="11">
        <f>IFERROR(__xludf.DUMMYFUNCTION("""COMPUTED_VALUE"""),15.0)</f>
        <v>15</v>
      </c>
      <c r="H450" s="11">
        <f>IFERROR(__xludf.DUMMYFUNCTION("""COMPUTED_VALUE"""),13.0)</f>
        <v>13</v>
      </c>
      <c r="I450" s="12" t="str">
        <f>IFERROR(__xludf.DUMMYFUNCTION("""COMPUTED_VALUE"""),"German")</f>
        <v>German</v>
      </c>
      <c r="J450" s="12" t="str">
        <f>IFERROR(__xludf.DUMMYFUNCTION("""COMPUTED_VALUE"""),"German")</f>
        <v>German</v>
      </c>
      <c r="K450" s="13">
        <f>IFERROR(__xludf.DUMMYFUNCTION("""COMPUTED_VALUE"""),44551.0)</f>
        <v>44551</v>
      </c>
      <c r="L450" s="14" t="str">
        <f>IFERROR(__xludf.DUMMYFUNCTION("""COMPUTED_VALUE"""),"https://masterplan.com/courses/seo-einfach-und-schnell-erklaert")</f>
        <v>https://masterplan.com/courses/seo-einfach-und-schnell-erklaert</v>
      </c>
    </row>
    <row r="451">
      <c r="A451" s="15" t="str">
        <f>IFERROR(__xludf.DUMMYFUNCTION("""COMPUTED_VALUE"""),"Fünf Grundlagen für erfolgreiches SEO")</f>
        <v>Fünf Grundlagen für erfolgreiches SEO</v>
      </c>
      <c r="B451" s="16" t="str">
        <f>IFERROR(__xludf.DUMMYFUNCTION("""COMPUTED_VALUE"""),"n.a.")</f>
        <v>n.a.</v>
      </c>
      <c r="C451" s="17" t="str">
        <f>IFERROR(__xludf.DUMMYFUNCTION("""COMPUTED_VALUE"""),"Du hast eine erste Vorstellung von SEO, allerdings weißt du nicht, worauf es eigentlich ankommt, um darin wirklich erfolgreich zu sein? In diesem Kurs baust du dir ein ""SEO-Fundament"" auf. Lerne, wie du dir ein Ziel setzt, was hinter Keywords steckt und"&amp;" vieles mehr.")</f>
        <v>Du hast eine erste Vorstellung von SEO, allerdings weißt du nicht, worauf es eigentlich ankommt, um darin wirklich erfolgreich zu sein? In diesem Kurs baust du dir ein "SEO-Fundament" auf. Lerne, wie du dir ein Ziel setzt, was hinter Keywords steckt und vieles mehr.</v>
      </c>
      <c r="D451" s="17" t="str">
        <f>IFERROR(__xludf.DUMMYFUNCTION("""COMPUTED_VALUE"""),"n.a.")</f>
        <v>n.a.</v>
      </c>
      <c r="E451" s="9" t="str">
        <f>IFERROR(__xludf.DUMMYFUNCTION("""COMPUTED_VALUE"""),"Global Citizenship")</f>
        <v>Global Citizenship</v>
      </c>
      <c r="F451" s="19" t="str">
        <f>IFERROR(__xludf.DUMMYFUNCTION("""COMPUTED_VALUE"""),"Evergreen Media - Alexander Rus")</f>
        <v>Evergreen Media - Alexander Rus</v>
      </c>
      <c r="G451" s="20">
        <f>IFERROR(__xludf.DUMMYFUNCTION("""COMPUTED_VALUE"""),16.0)</f>
        <v>16</v>
      </c>
      <c r="H451" s="20">
        <f>IFERROR(__xludf.DUMMYFUNCTION("""COMPUTED_VALUE"""),13.0)</f>
        <v>13</v>
      </c>
      <c r="I451" s="21" t="str">
        <f>IFERROR(__xludf.DUMMYFUNCTION("""COMPUTED_VALUE"""),"German")</f>
        <v>German</v>
      </c>
      <c r="J451" s="21" t="str">
        <f>IFERROR(__xludf.DUMMYFUNCTION("""COMPUTED_VALUE"""),"German")</f>
        <v>German</v>
      </c>
      <c r="K451" s="22">
        <f>IFERROR(__xludf.DUMMYFUNCTION("""COMPUTED_VALUE"""),44551.0)</f>
        <v>44551</v>
      </c>
      <c r="L451" s="23" t="str">
        <f>IFERROR(__xludf.DUMMYFUNCTION("""COMPUTED_VALUE"""),"https://masterplan.com/courses/fuenf-grundlagen-fuer-erfolgreiches-seo")</f>
        <v>https://masterplan.com/courses/fuenf-grundlagen-fuer-erfolgreiches-seo</v>
      </c>
    </row>
    <row r="452">
      <c r="A452" s="6" t="str">
        <f>IFERROR(__xludf.DUMMYFUNCTION("""COMPUTED_VALUE"""),"Vertriebler:innen finden und entwickeln")</f>
        <v>Vertriebler:innen finden und entwickeln</v>
      </c>
      <c r="B452" s="7" t="str">
        <f>IFERROR(__xludf.DUMMYFUNCTION("""COMPUTED_VALUE"""),"n.a.")</f>
        <v>n.a.</v>
      </c>
      <c r="C452" s="8" t="str">
        <f>IFERROR(__xludf.DUMMYFUNCTION("""COMPUTED_VALUE"""),"Gute Vertriebler:innen sind unerlässlich für dein Team. Aber wie kannst du diese finden? Was solltest du bei der Organisation beachten? In diesem Podcast gibt dir Morten Wolff nützliche Impulse und Tipps für dein Vertriebsteam.")</f>
        <v>Gute Vertriebler:innen sind unerlässlich für dein Team. Aber wie kannst du diese finden? Was solltest du bei der Organisation beachten? In diesem Podcast gibt dir Morten Wolff nützliche Impulse und Tipps für dein Vertriebsteam.</v>
      </c>
      <c r="D452" s="8" t="str">
        <f>IFERROR(__xludf.DUMMYFUNCTION("""COMPUTED_VALUE"""),"n.a.")</f>
        <v>n.a.</v>
      </c>
      <c r="E452" s="9" t="str">
        <f>IFERROR(__xludf.DUMMYFUNCTION("""COMPUTED_VALUE"""),"Global Citizenship")</f>
        <v>Global Citizenship</v>
      </c>
      <c r="F452" s="10" t="str">
        <f>IFERROR(__xludf.DUMMYFUNCTION("""COMPUTED_VALUE"""),"Morten Wolff")</f>
        <v>Morten Wolff</v>
      </c>
      <c r="G452" s="11">
        <f>IFERROR(__xludf.DUMMYFUNCTION("""COMPUTED_VALUE"""),38.0)</f>
        <v>38</v>
      </c>
      <c r="H452" s="11">
        <f>IFERROR(__xludf.DUMMYFUNCTION("""COMPUTED_VALUE"""),5.0)</f>
        <v>5</v>
      </c>
      <c r="I452" s="12" t="str">
        <f>IFERROR(__xludf.DUMMYFUNCTION("""COMPUTED_VALUE"""),"German")</f>
        <v>German</v>
      </c>
      <c r="J452" s="12" t="str">
        <f>IFERROR(__xludf.DUMMYFUNCTION("""COMPUTED_VALUE"""),"German")</f>
        <v>German</v>
      </c>
      <c r="K452" s="13">
        <f>IFERROR(__xludf.DUMMYFUNCTION("""COMPUTED_VALUE"""),44545.0)</f>
        <v>44545</v>
      </c>
      <c r="L452" s="14" t="str">
        <f>IFERROR(__xludf.DUMMYFUNCTION("""COMPUTED_VALUE"""),"https://masterplan.com/courses/vertrieblerinnen-finden-und-entwickeln")</f>
        <v>https://masterplan.com/courses/vertrieblerinnen-finden-und-entwickeln</v>
      </c>
    </row>
    <row r="453">
      <c r="A453" s="15" t="str">
        <f>IFERROR(__xludf.DUMMYFUNCTION("""COMPUTED_VALUE"""),"Tipps für den Vertriebsalltag")</f>
        <v>Tipps für den Vertriebsalltag</v>
      </c>
      <c r="B453" s="16" t="str">
        <f>IFERROR(__xludf.DUMMYFUNCTION("""COMPUTED_VALUE"""),"n.a.")</f>
        <v>n.a.</v>
      </c>
      <c r="C453" s="17" t="str">
        <f>IFERROR(__xludf.DUMMYFUNCTION("""COMPUTED_VALUE"""),"Wie kannst du die Herausforderungen im Vertriebsalltag meistern? Welche Tipps und Tricks können dir hierbei helfen? Von der eigenen Organisation bis zu deinen Kunden verstehen - Morten erklärt dir in diesem Podcast, wie du den Vertriebsalltag meistern kan"&amp;"nst.")</f>
        <v>Wie kannst du die Herausforderungen im Vertriebsalltag meistern? Welche Tipps und Tricks können dir hierbei helfen? Von der eigenen Organisation bis zu deinen Kunden verstehen - Morten erklärt dir in diesem Podcast, wie du den Vertriebsalltag meistern kannst.</v>
      </c>
      <c r="D453" s="17" t="str">
        <f>IFERROR(__xludf.DUMMYFUNCTION("""COMPUTED_VALUE"""),"n.a.")</f>
        <v>n.a.</v>
      </c>
      <c r="E453" s="9" t="str">
        <f>IFERROR(__xludf.DUMMYFUNCTION("""COMPUTED_VALUE"""),"Global Citizenship")</f>
        <v>Global Citizenship</v>
      </c>
      <c r="F453" s="19" t="str">
        <f>IFERROR(__xludf.DUMMYFUNCTION("""COMPUTED_VALUE"""),"Morten Wolff")</f>
        <v>Morten Wolff</v>
      </c>
      <c r="G453" s="20">
        <f>IFERROR(__xludf.DUMMYFUNCTION("""COMPUTED_VALUE"""),60.0)</f>
        <v>60</v>
      </c>
      <c r="H453" s="20">
        <f>IFERROR(__xludf.DUMMYFUNCTION("""COMPUTED_VALUE"""),8.0)</f>
        <v>8</v>
      </c>
      <c r="I453" s="21" t="str">
        <f>IFERROR(__xludf.DUMMYFUNCTION("""COMPUTED_VALUE"""),"German")</f>
        <v>German</v>
      </c>
      <c r="J453" s="21" t="str">
        <f>IFERROR(__xludf.DUMMYFUNCTION("""COMPUTED_VALUE"""),"German")</f>
        <v>German</v>
      </c>
      <c r="K453" s="22">
        <f>IFERROR(__xludf.DUMMYFUNCTION("""COMPUTED_VALUE"""),44545.0)</f>
        <v>44545</v>
      </c>
      <c r="L453" s="23" t="str">
        <f>IFERROR(__xludf.DUMMYFUNCTION("""COMPUTED_VALUE"""),"https://masterplan.com/courses/tipps-fuer-den-vertriebsalltag")</f>
        <v>https://masterplan.com/courses/tipps-fuer-den-vertriebsalltag</v>
      </c>
    </row>
    <row r="454">
      <c r="A454" s="6" t="str">
        <f>IFERROR(__xludf.DUMMYFUNCTION("""COMPUTED_VALUE"""),"Den richtigen Vertriebsansatz finden")</f>
        <v>Den richtigen Vertriebsansatz finden</v>
      </c>
      <c r="B454" s="7" t="str">
        <f>IFERROR(__xludf.DUMMYFUNCTION("""COMPUTED_VALUE"""),"n.a.")</f>
        <v>n.a.</v>
      </c>
      <c r="C454" s="8" t="str">
        <f>IFERROR(__xludf.DUMMYFUNCTION("""COMPUTED_VALUE"""),"Viele Wege führen nach Rom, so auch im erfolgreichen Vertrieb. Welche Vertriebsansätze es gibt und wie du diese anwenden kannst, erklärt dir unser Vertriebsexperte Morten Wolff in diesem Podcast.")</f>
        <v>Viele Wege führen nach Rom, so auch im erfolgreichen Vertrieb. Welche Vertriebsansätze es gibt und wie du diese anwenden kannst, erklärt dir unser Vertriebsexperte Morten Wolff in diesem Podcast.</v>
      </c>
      <c r="D454" s="8" t="str">
        <f>IFERROR(__xludf.DUMMYFUNCTION("""COMPUTED_VALUE"""),"n.a.")</f>
        <v>n.a.</v>
      </c>
      <c r="E454" s="9" t="str">
        <f>IFERROR(__xludf.DUMMYFUNCTION("""COMPUTED_VALUE"""),"Global Citizenship")</f>
        <v>Global Citizenship</v>
      </c>
      <c r="F454" s="10" t="str">
        <f>IFERROR(__xludf.DUMMYFUNCTION("""COMPUTED_VALUE"""),"Morten Wolff")</f>
        <v>Morten Wolff</v>
      </c>
      <c r="G454" s="11">
        <f>IFERROR(__xludf.DUMMYFUNCTION("""COMPUTED_VALUE"""),58.0)</f>
        <v>58</v>
      </c>
      <c r="H454" s="11">
        <f>IFERROR(__xludf.DUMMYFUNCTION("""COMPUTED_VALUE"""),8.0)</f>
        <v>8</v>
      </c>
      <c r="I454" s="12" t="str">
        <f>IFERROR(__xludf.DUMMYFUNCTION("""COMPUTED_VALUE"""),"German")</f>
        <v>German</v>
      </c>
      <c r="J454" s="12" t="str">
        <f>IFERROR(__xludf.DUMMYFUNCTION("""COMPUTED_VALUE"""),"German")</f>
        <v>German</v>
      </c>
      <c r="K454" s="13">
        <f>IFERROR(__xludf.DUMMYFUNCTION("""COMPUTED_VALUE"""),44545.0)</f>
        <v>44545</v>
      </c>
      <c r="L454" s="14" t="str">
        <f>IFERROR(__xludf.DUMMYFUNCTION("""COMPUTED_VALUE"""),"https://masterplan.com/courses/den-richtigen-vertriebsansatz-finden")</f>
        <v>https://masterplan.com/courses/den-richtigen-vertriebsansatz-finden</v>
      </c>
    </row>
    <row r="455">
      <c r="A455" s="15" t="str">
        <f>IFERROR(__xludf.DUMMYFUNCTION("""COMPUTED_VALUE"""),"Google Workspace: Drive")</f>
        <v>Google Workspace: Drive</v>
      </c>
      <c r="B455" s="16" t="str">
        <f>IFERROR(__xludf.DUMMYFUNCTION("""COMPUTED_VALUE"""),"Google Workspace: Drive")</f>
        <v>Google Workspace: Drive</v>
      </c>
      <c r="C455" s="17" t="str">
        <f>IFERROR(__xludf.DUMMYFUNCTION("""COMPUTED_VALUE"""),"Mit Google Drive können wir überall und jederzeit auf unsere Dateien zugreifen und sie mit jedem teilen. In diesem Kurs lernst du die Grundlagen und Einstellungen von Google Drive kennen, vom Erteilen von Befugnissen bis hin zur Organisation von Dateien u"&amp;"nd Ordnern.")</f>
        <v>Mit Google Drive können wir überall und jederzeit auf unsere Dateien zugreifen und sie mit jedem teilen. In diesem Kurs lernst du die Grundlagen und Einstellungen von Google Drive kennen, vom Erteilen von Befugnissen bis hin zur Organisation von Dateien und Ordnern.</v>
      </c>
      <c r="D455" s="17" t="str">
        <f>IFERROR(__xludf.DUMMYFUNCTION("""COMPUTED_VALUE"""),"Google Drive has revolutionized our ability to access and share files anytime, anywhere, and with anyone. In this course, you'll learn the basic features and settings of Google Drive, from sharing to giving permission to organizing your files and folders.")</f>
        <v>Google Drive has revolutionized our ability to access and share files anytime, anywhere, and with anyone. In this course, you'll learn the basic features and settings of Google Drive, from sharing to giving permission to organizing your files and folders.</v>
      </c>
      <c r="E455" s="27" t="str">
        <f>IFERROR(__xludf.DUMMYFUNCTION("""COMPUTED_VALUE"""),"Tools &amp; Tutorials")</f>
        <v>Tools &amp; Tutorials</v>
      </c>
      <c r="F455" s="19" t="str">
        <f>IFERROR(__xludf.DUMMYFUNCTION("""COMPUTED_VALUE"""),"Google Applied Digital Skills")</f>
        <v>Google Applied Digital Skills</v>
      </c>
      <c r="G455" s="20">
        <f>IFERROR(__xludf.DUMMYFUNCTION("""COMPUTED_VALUE"""),30.0)</f>
        <v>30</v>
      </c>
      <c r="H455" s="20">
        <f>IFERROR(__xludf.DUMMYFUNCTION("""COMPUTED_VALUE"""),16.0)</f>
        <v>16</v>
      </c>
      <c r="I455" s="21" t="str">
        <f>IFERROR(__xludf.DUMMYFUNCTION("""COMPUTED_VALUE"""),"English, German")</f>
        <v>English, German</v>
      </c>
      <c r="J455" s="21" t="str">
        <f>IFERROR(__xludf.DUMMYFUNCTION("""COMPUTED_VALUE"""),"English")</f>
        <v>English</v>
      </c>
      <c r="K455" s="22">
        <f>IFERROR(__xludf.DUMMYFUNCTION("""COMPUTED_VALUE"""),44544.0)</f>
        <v>44544</v>
      </c>
      <c r="L455" s="23" t="str">
        <f>IFERROR(__xludf.DUMMYFUNCTION("""COMPUTED_VALUE"""),"https://masterplan.com/courses/google-workspace-drive")</f>
        <v>https://masterplan.com/courses/google-workspace-drive</v>
      </c>
    </row>
    <row r="456">
      <c r="A456" s="6" t="str">
        <f>IFERROR(__xludf.DUMMYFUNCTION("""COMPUTED_VALUE"""),"Google Workspace: Gmail")</f>
        <v>Google Workspace: Gmail</v>
      </c>
      <c r="B456" s="7" t="str">
        <f>IFERROR(__xludf.DUMMYFUNCTION("""COMPUTED_VALUE"""),"Google Workspace: Gmail")</f>
        <v>Google Workspace: Gmail</v>
      </c>
      <c r="C456" s="8" t="str">
        <f>IFERROR(__xludf.DUMMYFUNCTION("""COMPUTED_VALUE"""),"Mit Gmail kannst du deine Kontakte, Dokumente und E-Mails egal wann und wo einsehen. Hier lernst du, wie du deine Einstellungen personalisierst, den Posteingang aufräumst, Chats und Videoanrufe verwendest und wie du deine Informationen organisierst – offl"&amp;"ine und online.")</f>
        <v>Mit Gmail kannst du deine Kontakte, Dokumente und E-Mails egal wann und wo einsehen. Hier lernst du, wie du deine Einstellungen personalisierst, den Posteingang aufräumst, Chats und Videoanrufe verwendest und wie du deine Informationen organisierst – offline und online.</v>
      </c>
      <c r="D456" s="8" t="str">
        <f>IFERROR(__xludf.DUMMYFUNCTION("""COMPUTED_VALUE"""),"With Gmail, you can access all your contacts, documents, and emails no matter where you are. Learn how to personalize your email settings, organize your inbox, use chat and video call, and how to organize all your information through Gmail– online or offl"&amp;"ine.")</f>
        <v>With Gmail, you can access all your contacts, documents, and emails no matter where you are. Learn how to personalize your email settings, organize your inbox, use chat and video call, and how to organize all your information through Gmail– online or offline.</v>
      </c>
      <c r="E456" s="27" t="str">
        <f>IFERROR(__xludf.DUMMYFUNCTION("""COMPUTED_VALUE"""),"Tools &amp; Tutorials")</f>
        <v>Tools &amp; Tutorials</v>
      </c>
      <c r="F456" s="10" t="str">
        <f>IFERROR(__xludf.DUMMYFUNCTION("""COMPUTED_VALUE"""),"Google Applied Digital Skills")</f>
        <v>Google Applied Digital Skills</v>
      </c>
      <c r="G456" s="11">
        <f>IFERROR(__xludf.DUMMYFUNCTION("""COMPUTED_VALUE"""),23.0)</f>
        <v>23</v>
      </c>
      <c r="H456" s="11">
        <f>IFERROR(__xludf.DUMMYFUNCTION("""COMPUTED_VALUE"""),24.0)</f>
        <v>24</v>
      </c>
      <c r="I456" s="12" t="str">
        <f>IFERROR(__xludf.DUMMYFUNCTION("""COMPUTED_VALUE"""),"English, German")</f>
        <v>English, German</v>
      </c>
      <c r="J456" s="12" t="str">
        <f>IFERROR(__xludf.DUMMYFUNCTION("""COMPUTED_VALUE"""),"English")</f>
        <v>English</v>
      </c>
      <c r="K456" s="13">
        <f>IFERROR(__xludf.DUMMYFUNCTION("""COMPUTED_VALUE"""),44540.0)</f>
        <v>44540</v>
      </c>
      <c r="L456" s="14" t="str">
        <f>IFERROR(__xludf.DUMMYFUNCTION("""COMPUTED_VALUE"""),"https://masterplan.com/courses/google-workspace-gmail")</f>
        <v>https://masterplan.com/courses/google-workspace-gmail</v>
      </c>
    </row>
    <row r="457">
      <c r="A457" s="15" t="str">
        <f>IFERROR(__xludf.DUMMYFUNCTION("""COMPUTED_VALUE"""),"Google Workspace: Meet")</f>
        <v>Google Workspace: Meet</v>
      </c>
      <c r="B457" s="16" t="str">
        <f>IFERROR(__xludf.DUMMYFUNCTION("""COMPUTED_VALUE"""),"Google Workspace: Meet")</f>
        <v>Google Workspace: Meet</v>
      </c>
      <c r="C457" s="17" t="str">
        <f>IFERROR(__xludf.DUMMYFUNCTION("""COMPUTED_VALUE"""),"Erfahre, wie du mit Google Meet virtuelle Meetings egal mit wem, wann und wo organisierst. Google Meet lässt dich wichtige Informationen mit anderen Google Apps synchronisieren, von deinem Kalender zu Erinnerungen und sogar Dateien aus deinem Drive.")</f>
        <v>Erfahre, wie du mit Google Meet virtuelle Meetings egal mit wem, wann und wo organisierst. Google Meet lässt dich wichtige Informationen mit anderen Google Apps synchronisieren, von deinem Kalender zu Erinnerungen und sogar Dateien aus deinem Drive.</v>
      </c>
      <c r="D457" s="17" t="str">
        <f>IFERROR(__xludf.DUMMYFUNCTION("""COMPUTED_VALUE"""),"Learn how to use Google Meet to set up virtual meetings with anyone, anytime, anywhere. By using Google Meet, you can sync all the necessary information with any other Google apps, from your Calendar to reminders, and even attach files in Drive.")</f>
        <v>Learn how to use Google Meet to set up virtual meetings with anyone, anytime, anywhere. By using Google Meet, you can sync all the necessary information with any other Google apps, from your Calendar to reminders, and even attach files in Drive.</v>
      </c>
      <c r="E457" s="27" t="str">
        <f>IFERROR(__xludf.DUMMYFUNCTION("""COMPUTED_VALUE"""),"Tools &amp; Tutorials")</f>
        <v>Tools &amp; Tutorials</v>
      </c>
      <c r="F457" s="19" t="str">
        <f>IFERROR(__xludf.DUMMYFUNCTION("""COMPUTED_VALUE"""),"Google Applied Digital Skills")</f>
        <v>Google Applied Digital Skills</v>
      </c>
      <c r="G457" s="20">
        <f>IFERROR(__xludf.DUMMYFUNCTION("""COMPUTED_VALUE"""),28.0)</f>
        <v>28</v>
      </c>
      <c r="H457" s="20">
        <f>IFERROR(__xludf.DUMMYFUNCTION("""COMPUTED_VALUE"""),22.0)</f>
        <v>22</v>
      </c>
      <c r="I457" s="21" t="str">
        <f>IFERROR(__xludf.DUMMYFUNCTION("""COMPUTED_VALUE"""),"English, German")</f>
        <v>English, German</v>
      </c>
      <c r="J457" s="21" t="str">
        <f>IFERROR(__xludf.DUMMYFUNCTION("""COMPUTED_VALUE"""),"English")</f>
        <v>English</v>
      </c>
      <c r="K457" s="22">
        <f>IFERROR(__xludf.DUMMYFUNCTION("""COMPUTED_VALUE"""),44540.0)</f>
        <v>44540</v>
      </c>
      <c r="L457" s="23" t="str">
        <f>IFERROR(__xludf.DUMMYFUNCTION("""COMPUTED_VALUE"""),"https://masterplan.com/courses/google-workspace-meet")</f>
        <v>https://masterplan.com/courses/google-workspace-meet</v>
      </c>
    </row>
    <row r="458">
      <c r="A458" s="6" t="str">
        <f>IFERROR(__xludf.DUMMYFUNCTION("""COMPUTED_VALUE"""),"Scrum Academy: Scrum Grundlagen")</f>
        <v>Scrum Academy: Scrum Grundlagen</v>
      </c>
      <c r="B458" s="7" t="str">
        <f>IFERROR(__xludf.DUMMYFUNCTION("""COMPUTED_VALUE"""),"Scrum Academy: Scrum Foundations")</f>
        <v>Scrum Academy: Scrum Foundations</v>
      </c>
      <c r="C458" s="8" t="str">
        <f>IFERROR(__xludf.DUMMYFUNCTION("""COMPUTED_VALUE"""),"Bestimmt hast du das Wort Scrum schon einmal im Büro oder auf einer Konferenz gehört. Aber was genau bedeutet es? In diesem Kurs zeigt dir Sohrab Alimi, der Gründer und CEO der Scrum Academy, die Elemente und Funktionen des Scrum-Frameworks.")</f>
        <v>Bestimmt hast du das Wort Scrum schon einmal im Büro oder auf einer Konferenz gehört. Aber was genau bedeutet es? In diesem Kurs zeigt dir Sohrab Alimi, der Gründer und CEO der Scrum Academy, die Elemente und Funktionen des Scrum-Frameworks.</v>
      </c>
      <c r="D458" s="8" t="str">
        <f>IFERROR(__xludf.DUMMYFUNCTION("""COMPUTED_VALUE"""),"You've probably heard someone mention Scrum around the office or at a conference, but what does it mean exactly? In this course Sohrab Salimi, the Founder and CEO of Scrum Academy, takes you on a journey through the elements and functions of the Scrum Fra"&amp;"mework.")</f>
        <v>You've probably heard someone mention Scrum around the office or at a conference, but what does it mean exactly? In this course Sohrab Salimi, the Founder and CEO of Scrum Academy, takes you on a journey through the elements and functions of the Scrum Framework.</v>
      </c>
      <c r="E458" s="18" t="str">
        <f>IFERROR(__xludf.DUMMYFUNCTION("""COMPUTED_VALUE"""),"Creativity and Innovation")</f>
        <v>Creativity and Innovation</v>
      </c>
      <c r="F458" s="10" t="str">
        <f>IFERROR(__xludf.DUMMYFUNCTION("""COMPUTED_VALUE"""),"Agile Academy - Sohrab Salimi")</f>
        <v>Agile Academy - Sohrab Salimi</v>
      </c>
      <c r="G458" s="11">
        <f>IFERROR(__xludf.DUMMYFUNCTION("""COMPUTED_VALUE"""),40.0)</f>
        <v>40</v>
      </c>
      <c r="H458" s="11">
        <f>IFERROR(__xludf.DUMMYFUNCTION("""COMPUTED_VALUE"""),12.0)</f>
        <v>12</v>
      </c>
      <c r="I458" s="12" t="str">
        <f>IFERROR(__xludf.DUMMYFUNCTION("""COMPUTED_VALUE"""),"English, German")</f>
        <v>English, German</v>
      </c>
      <c r="J458" s="12" t="str">
        <f>IFERROR(__xludf.DUMMYFUNCTION("""COMPUTED_VALUE"""),"English")</f>
        <v>English</v>
      </c>
      <c r="K458" s="13">
        <f>IFERROR(__xludf.DUMMYFUNCTION("""COMPUTED_VALUE"""),44533.0)</f>
        <v>44533</v>
      </c>
      <c r="L458" s="14" t="str">
        <f>IFERROR(__xludf.DUMMYFUNCTION("""COMPUTED_VALUE"""),"https://masterplan.com/courses/scrum-academy-scrum-grundlagen")</f>
        <v>https://masterplan.com/courses/scrum-academy-scrum-grundlagen</v>
      </c>
    </row>
    <row r="459">
      <c r="A459" s="15" t="str">
        <f>IFERROR(__xludf.DUMMYFUNCTION("""COMPUTED_VALUE"""),"Scrum Academy: Agile Grundlagen")</f>
        <v>Scrum Academy: Agile Grundlagen</v>
      </c>
      <c r="B459" s="16" t="str">
        <f>IFERROR(__xludf.DUMMYFUNCTION("""COMPUTED_VALUE"""),"Scrum Academy: Agile Fundamentals")</f>
        <v>Scrum Academy: Agile Fundamentals</v>
      </c>
      <c r="C459" s="17" t="str">
        <f>IFERROR(__xludf.DUMMYFUNCTION("""COMPUTED_VALUE"""),"Was bedeutet es genau, die Agilität deines Arbeitsumfeldes verbessern zu wollen? In diesem Kurs zeigt dir Sohrab Salimi, der Gründer und CEO von Scrum Academy, wie Agilität dir helfen, bessere Produkte auf effizientere und profitablere Weise zu entwickeln"&amp;".")</f>
        <v>Was bedeutet es genau, die Agilität deines Arbeitsumfeldes verbessern zu wollen? In diesem Kurs zeigt dir Sohrab Salimi, der Gründer und CEO von Scrum Academy, wie Agilität dir helfen, bessere Produkte auf effizientere und profitablere Weise zu entwickeln.</v>
      </c>
      <c r="D459" s="17" t="str">
        <f>IFERROR(__xludf.DUMMYFUNCTION("""COMPUTED_VALUE"""),"If you wanted to improve the agility of your workplace, what does this mean exactly? In this course Sohrab Salimi, the Founder and CEO of Scrum Academy, shows you the elements of agile and how they help you create better products in a more efficient and p"&amp;"rofitable way.")</f>
        <v>If you wanted to improve the agility of your workplace, what does this mean exactly? In this course Sohrab Salimi, the Founder and CEO of Scrum Academy, shows you the elements of agile and how they help you create better products in a more efficient and profitable way.</v>
      </c>
      <c r="E459" s="18" t="str">
        <f>IFERROR(__xludf.DUMMYFUNCTION("""COMPUTED_VALUE"""),"Creativity and Innovation")</f>
        <v>Creativity and Innovation</v>
      </c>
      <c r="F459" s="19" t="str">
        <f>IFERROR(__xludf.DUMMYFUNCTION("""COMPUTED_VALUE"""),"Agile Academy - Sohrab Salimi")</f>
        <v>Agile Academy - Sohrab Salimi</v>
      </c>
      <c r="G459" s="20">
        <f>IFERROR(__xludf.DUMMYFUNCTION("""COMPUTED_VALUE"""),69.0)</f>
        <v>69</v>
      </c>
      <c r="H459" s="20">
        <f>IFERROR(__xludf.DUMMYFUNCTION("""COMPUTED_VALUE"""),25.0)</f>
        <v>25</v>
      </c>
      <c r="I459" s="21" t="str">
        <f>IFERROR(__xludf.DUMMYFUNCTION("""COMPUTED_VALUE"""),"English, German")</f>
        <v>English, German</v>
      </c>
      <c r="J459" s="21" t="str">
        <f>IFERROR(__xludf.DUMMYFUNCTION("""COMPUTED_VALUE"""),"English")</f>
        <v>English</v>
      </c>
      <c r="K459" s="22">
        <f>IFERROR(__xludf.DUMMYFUNCTION("""COMPUTED_VALUE"""),44533.0)</f>
        <v>44533</v>
      </c>
      <c r="L459" s="23" t="str">
        <f>IFERROR(__xludf.DUMMYFUNCTION("""COMPUTED_VALUE"""),"https://masterplan.com/courses/scrum-academy-agile-grundlagen")</f>
        <v>https://masterplan.com/courses/scrum-academy-agile-grundlagen</v>
      </c>
    </row>
    <row r="460">
      <c r="A460" s="6" t="str">
        <f>IFERROR(__xludf.DUMMYFUNCTION("""COMPUTED_VALUE"""),"Google Workspace: Kalender")</f>
        <v>Google Workspace: Kalender</v>
      </c>
      <c r="B460" s="7" t="str">
        <f>IFERROR(__xludf.DUMMYFUNCTION("""COMPUTED_VALUE"""),"Google Workspace: Calendar")</f>
        <v>Google Workspace: Calendar</v>
      </c>
      <c r="C460" s="8" t="str">
        <f>IFERROR(__xludf.DUMMYFUNCTION("""COMPUTED_VALUE"""),"Dieser Kurs unserer Google Workspace-Reihe vermittelt die Grundlagen von Google Kalender. Mit praktischen Videos übst du, wie du Termine erstellst, Gäste einlädst, Erinnerungen einrichtest, Benachrichtigungen personalisierst und farbliche Markierungen set"&amp;"zt.")</f>
        <v>Dieser Kurs unserer Google Workspace-Reihe vermittelt die Grundlagen von Google Kalender. Mit praktischen Videos übst du, wie du Termine erstellst, Gäste einlädst, Erinnerungen einrichtest, Benachrichtigungen personalisierst und farbliche Markierungen setzt.</v>
      </c>
      <c r="D460" s="8" t="str">
        <f>IFERROR(__xludf.DUMMYFUNCTION("""COMPUTED_VALUE"""),"As part of our Google Workspace Series, this course walks you through the fundamentals of Google Calendar. With hands-on videos you can practice creating events, inviting guests, setting reminders, personalizing notifications, and colour coding your Googl"&amp;"e Calendar.")</f>
        <v>As part of our Google Workspace Series, this course walks you through the fundamentals of Google Calendar. With hands-on videos you can practice creating events, inviting guests, setting reminders, personalizing notifications, and colour coding your Google Calendar.</v>
      </c>
      <c r="E460" s="27" t="str">
        <f>IFERROR(__xludf.DUMMYFUNCTION("""COMPUTED_VALUE"""),"Tools &amp; Tutorials")</f>
        <v>Tools &amp; Tutorials</v>
      </c>
      <c r="F460" s="10" t="str">
        <f>IFERROR(__xludf.DUMMYFUNCTION("""COMPUTED_VALUE"""),"Google Applied Digital Skills")</f>
        <v>Google Applied Digital Skills</v>
      </c>
      <c r="G460" s="11">
        <f>IFERROR(__xludf.DUMMYFUNCTION("""COMPUTED_VALUE"""),34.0)</f>
        <v>34</v>
      </c>
      <c r="H460" s="11">
        <f>IFERROR(__xludf.DUMMYFUNCTION("""COMPUTED_VALUE"""),23.0)</f>
        <v>23</v>
      </c>
      <c r="I460" s="12" t="str">
        <f>IFERROR(__xludf.DUMMYFUNCTION("""COMPUTED_VALUE"""),"English, German")</f>
        <v>English, German</v>
      </c>
      <c r="J460" s="12" t="str">
        <f>IFERROR(__xludf.DUMMYFUNCTION("""COMPUTED_VALUE"""),"English")</f>
        <v>English</v>
      </c>
      <c r="K460" s="13">
        <f>IFERROR(__xludf.DUMMYFUNCTION("""COMPUTED_VALUE"""),44531.0)</f>
        <v>44531</v>
      </c>
      <c r="L460" s="14" t="str">
        <f>IFERROR(__xludf.DUMMYFUNCTION("""COMPUTED_VALUE"""),"https://masterplan.com/courses/google-workspace-kalender")</f>
        <v>https://masterplan.com/courses/google-workspace-kalender</v>
      </c>
    </row>
    <row r="461">
      <c r="A461" s="15" t="str">
        <f>IFERROR(__xludf.DUMMYFUNCTION("""COMPUTED_VALUE"""),"Google Workspace: Tabellen")</f>
        <v>Google Workspace: Tabellen</v>
      </c>
      <c r="B461" s="16" t="str">
        <f>IFERROR(__xludf.DUMMYFUNCTION("""COMPUTED_VALUE"""),"Google Workspace: Sheets")</f>
        <v>Google Workspace: Sheets</v>
      </c>
      <c r="C461" s="17" t="str">
        <f>IFERROR(__xludf.DUMMYFUNCTION("""COMPUTED_VALUE"""),"Google Tabellen ist ein kostenloses Online-Tool, mit dem du intuitiv und effektiv Tabellenkalkulationen erstellen kannst. In diesem einsteigerfreundlichen Kurs lernst du, wie du alle wichtigen Funktionen nutzen und mit Kolleg:innen an deinen Tabellen arbe"&amp;"iten kannst.")</f>
        <v>Google Tabellen ist ein kostenloses Online-Tool, mit dem du intuitiv und effektiv Tabellenkalkulationen erstellen kannst. In diesem einsteigerfreundlichen Kurs lernst du, wie du alle wichtigen Funktionen nutzen und mit Kolleg:innen an deinen Tabellen arbeiten kannst.</v>
      </c>
      <c r="D461" s="17" t="str">
        <f>IFERROR(__xludf.DUMMYFUNCTION("""COMPUTED_VALUE"""),"Google Sheets is Google's free online tool for creating spreadhseets intuitively and effectively. In this accessible course, learn how to use all key functions and how to collaborate on your spreadsheets with colleagues.")</f>
        <v>Google Sheets is Google's free online tool for creating spreadhseets intuitively and effectively. In this accessible course, learn how to use all key functions and how to collaborate on your spreadsheets with colleagues.</v>
      </c>
      <c r="E461" s="27" t="str">
        <f>IFERROR(__xludf.DUMMYFUNCTION("""COMPUTED_VALUE"""),"Tools &amp; Tutorials")</f>
        <v>Tools &amp; Tutorials</v>
      </c>
      <c r="F461" s="19" t="str">
        <f>IFERROR(__xludf.DUMMYFUNCTION("""COMPUTED_VALUE"""),"Google Applied Digital Skills")</f>
        <v>Google Applied Digital Skills</v>
      </c>
      <c r="G461" s="20">
        <f>IFERROR(__xludf.DUMMYFUNCTION("""COMPUTED_VALUE"""),60.0)</f>
        <v>60</v>
      </c>
      <c r="H461" s="20">
        <f>IFERROR(__xludf.DUMMYFUNCTION("""COMPUTED_VALUE"""),31.0)</f>
        <v>31</v>
      </c>
      <c r="I461" s="21" t="str">
        <f>IFERROR(__xludf.DUMMYFUNCTION("""COMPUTED_VALUE"""),"English, German")</f>
        <v>English, German</v>
      </c>
      <c r="J461" s="21" t="str">
        <f>IFERROR(__xludf.DUMMYFUNCTION("""COMPUTED_VALUE"""),"English")</f>
        <v>English</v>
      </c>
      <c r="K461" s="22">
        <f>IFERROR(__xludf.DUMMYFUNCTION("""COMPUTED_VALUE"""),44525.0)</f>
        <v>44525</v>
      </c>
      <c r="L461" s="23" t="str">
        <f>IFERROR(__xludf.DUMMYFUNCTION("""COMPUTED_VALUE"""),"https://masterplan.com/courses/google-workspace-tabellen")</f>
        <v>https://masterplan.com/courses/google-workspace-tabellen</v>
      </c>
    </row>
    <row r="462">
      <c r="A462" s="6" t="str">
        <f>IFERROR(__xludf.DUMMYFUNCTION("""COMPUTED_VALUE"""),"Google Workspace: Docs")</f>
        <v>Google Workspace: Docs</v>
      </c>
      <c r="B462" s="7" t="str">
        <f>IFERROR(__xludf.DUMMYFUNCTION("""COMPUTED_VALUE"""),"Google Workspace: Docs")</f>
        <v>Google Workspace: Docs</v>
      </c>
      <c r="C462" s="8" t="str">
        <f>IFERROR(__xludf.DUMMYFUNCTION("""COMPUTED_VALUE"""),"Google Docs ist die Texterstellungssoftware von Google, mit der du ganz einfach gemeinsam an Textdokumenten arbeiten kannst. Dieser Kurs führt dich durch den gesamten Prozess der Erstellung eines Dokuments und der Zusammenarbeit mit deinen Kolleg:innen.")</f>
        <v>Google Docs ist die Texterstellungssoftware von Google, mit der du ganz einfach gemeinsam an Textdokumenten arbeiten kannst. Dieser Kurs führt dich durch den gesamten Prozess der Erstellung eines Dokuments und der Zusammenarbeit mit deinen Kolleg:innen.</v>
      </c>
      <c r="D462" s="8" t="str">
        <f>IFERROR(__xludf.DUMMYFUNCTION("""COMPUTED_VALUE"""),"Google Docs is Google's text creation software that makes it easy to work on text documents collaboratively without issue. This course will take you through the entire process of creating a document and collaborating on it with your colleagues and friends"&amp;".")</f>
        <v>Google Docs is Google's text creation software that makes it easy to work on text documents collaboratively without issue. This course will take you through the entire process of creating a document and collaborating on it with your colleagues and friends.</v>
      </c>
      <c r="E462" s="27" t="str">
        <f>IFERROR(__xludf.DUMMYFUNCTION("""COMPUTED_VALUE"""),"Tools &amp; Tutorials")</f>
        <v>Tools &amp; Tutorials</v>
      </c>
      <c r="F462" s="10" t="str">
        <f>IFERROR(__xludf.DUMMYFUNCTION("""COMPUTED_VALUE"""),"Google Applied Digital Skills")</f>
        <v>Google Applied Digital Skills</v>
      </c>
      <c r="G462" s="11">
        <f>IFERROR(__xludf.DUMMYFUNCTION("""COMPUTED_VALUE"""),35.0)</f>
        <v>35</v>
      </c>
      <c r="H462" s="11">
        <f>IFERROR(__xludf.DUMMYFUNCTION("""COMPUTED_VALUE"""),24.0)</f>
        <v>24</v>
      </c>
      <c r="I462" s="12" t="str">
        <f>IFERROR(__xludf.DUMMYFUNCTION("""COMPUTED_VALUE"""),"English, German")</f>
        <v>English, German</v>
      </c>
      <c r="J462" s="12" t="str">
        <f>IFERROR(__xludf.DUMMYFUNCTION("""COMPUTED_VALUE"""),"English")</f>
        <v>English</v>
      </c>
      <c r="K462" s="13">
        <f>IFERROR(__xludf.DUMMYFUNCTION("""COMPUTED_VALUE"""),44519.0)</f>
        <v>44519</v>
      </c>
      <c r="L462" s="14" t="str">
        <f>IFERROR(__xludf.DUMMYFUNCTION("""COMPUTED_VALUE"""),"https://masterplan.com/courses/google-workspace-docs")</f>
        <v>https://masterplan.com/courses/google-workspace-docs</v>
      </c>
    </row>
    <row r="463">
      <c r="A463" s="15" t="str">
        <f>IFERROR(__xludf.DUMMYFUNCTION("""COMPUTED_VALUE"""),"Google Workspace: Präsentationen")</f>
        <v>Google Workspace: Präsentationen</v>
      </c>
      <c r="B463" s="16" t="str">
        <f>IFERROR(__xludf.DUMMYFUNCTION("""COMPUTED_VALUE"""),"Google Workspace: Slides")</f>
        <v>Google Workspace: Slides</v>
      </c>
      <c r="C463" s="17" t="str">
        <f>IFERROR(__xludf.DUMMYFUNCTION("""COMPUTED_VALUE"""),"Mit Google Slides kannst du ganz einfach kostenlose und großartige Präsentationen erstellen. In diesem Kurs lernst du alles, was du brauchst, um deine nächste Präsentation vorzubereiten und wie du ganz einfach Bilder, Graphen und sogar Videos einfügst.")</f>
        <v>Mit Google Slides kannst du ganz einfach kostenlose und großartige Präsentationen erstellen. In diesem Kurs lernst du alles, was du brauchst, um deine nächste Präsentation vorzubereiten und wie du ganz einfach Bilder, Graphen und sogar Videos einfügst.</v>
      </c>
      <c r="D463" s="17" t="str">
        <f>IFERROR(__xludf.DUMMYFUNCTION("""COMPUTED_VALUE"""),"Google Slides is Google's free and easy tool that helps you create beautiful presentations without effort. This course will take you through everything you need to build your next presentation in Slides, easily integrating images, graphs and even videos.")</f>
        <v>Google Slides is Google's free and easy tool that helps you create beautiful presentations without effort. This course will take you through everything you need to build your next presentation in Slides, easily integrating images, graphs and even videos.</v>
      </c>
      <c r="E463" s="27" t="str">
        <f>IFERROR(__xludf.DUMMYFUNCTION("""COMPUTED_VALUE"""),"Tools &amp; Tutorials")</f>
        <v>Tools &amp; Tutorials</v>
      </c>
      <c r="F463" s="19" t="str">
        <f>IFERROR(__xludf.DUMMYFUNCTION("""COMPUTED_VALUE"""),"Google Applied Digital Skills")</f>
        <v>Google Applied Digital Skills</v>
      </c>
      <c r="G463" s="20">
        <f>IFERROR(__xludf.DUMMYFUNCTION("""COMPUTED_VALUE"""),42.0)</f>
        <v>42</v>
      </c>
      <c r="H463" s="20">
        <f>IFERROR(__xludf.DUMMYFUNCTION("""COMPUTED_VALUE"""),23.0)</f>
        <v>23</v>
      </c>
      <c r="I463" s="21" t="str">
        <f>IFERROR(__xludf.DUMMYFUNCTION("""COMPUTED_VALUE"""),"English, German")</f>
        <v>English, German</v>
      </c>
      <c r="J463" s="21" t="str">
        <f>IFERROR(__xludf.DUMMYFUNCTION("""COMPUTED_VALUE"""),"English")</f>
        <v>English</v>
      </c>
      <c r="K463" s="22">
        <f>IFERROR(__xludf.DUMMYFUNCTION("""COMPUTED_VALUE"""),44517.0)</f>
        <v>44517</v>
      </c>
      <c r="L463" s="23" t="str">
        <f>IFERROR(__xludf.DUMMYFUNCTION("""COMPUTED_VALUE"""),"https://masterplan.com/courses/google-workspace-praesentationen")</f>
        <v>https://masterplan.com/courses/google-workspace-praesentationen</v>
      </c>
    </row>
    <row r="464">
      <c r="A464" s="6" t="str">
        <f>IFERROR(__xludf.DUMMYFUNCTION("""COMPUTED_VALUE"""),"Marketing mit Analytics aufs nächste Level heben")</f>
        <v>Marketing mit Analytics aufs nächste Level heben</v>
      </c>
      <c r="B464" s="7" t="str">
        <f>IFERROR(__xludf.DUMMYFUNCTION("""COMPUTED_VALUE"""),"Enhance Your Marketing Strategy Using Analytics")</f>
        <v>Enhance Your Marketing Strategy Using Analytics</v>
      </c>
      <c r="C464" s="8" t="str">
        <f>IFERROR(__xludf.DUMMYFUNCTION("""COMPUTED_VALUE"""),"Analytics geben zahlreiche Erkenntnisse - vom Standort deiner Kund:innen, über ihre liebsten Blogposts bis hin zu ihren Surfgewohnheiten. In diesem Kurs lernst du die wichtigsten Metriken kennen und erfährst, wie du sie in zukünftige Marketingstrategien e"&amp;"inbindest.")</f>
        <v>Analytics geben zahlreiche Erkenntnisse - vom Standort deiner Kund:innen, über ihre liebsten Blogposts bis hin zu ihren Surfgewohnheiten. In diesem Kurs lernst du die wichtigsten Metriken kennen und erfährst, wie du sie in zukünftige Marketingstrategien einbindest.</v>
      </c>
      <c r="D464" s="8" t="str">
        <f>IFERROR(__xludf.DUMMYFUNCTION("""COMPUTED_VALUE"""),"Website analytics contain a variety of beneficial insights from your customers' locations to their favorite blog posts and browsing habits. This course shows you the most important website metrics and how to incorporate them into your future marketing str"&amp;"ategies.")</f>
        <v>Website analytics contain a variety of beneficial insights from your customers' locations to their favorite blog posts and browsing habits. This course shows you the most important website metrics and how to incorporate them into your future marketing strategies.</v>
      </c>
      <c r="E464" s="9" t="str">
        <f>IFERROR(__xludf.DUMMYFUNCTION("""COMPUTED_VALUE"""),"Global Citizenship")</f>
        <v>Global Citizenship</v>
      </c>
      <c r="F464" s="10" t="str">
        <f>IFERROR(__xludf.DUMMYFUNCTION("""COMPUTED_VALUE"""),"GoDaddy")</f>
        <v>GoDaddy</v>
      </c>
      <c r="G464" s="11">
        <f>IFERROR(__xludf.DUMMYFUNCTION("""COMPUTED_VALUE"""),60.0)</f>
        <v>60</v>
      </c>
      <c r="H464" s="11">
        <f>IFERROR(__xludf.DUMMYFUNCTION("""COMPUTED_VALUE"""),20.0)</f>
        <v>20</v>
      </c>
      <c r="I464" s="12" t="str">
        <f>IFERROR(__xludf.DUMMYFUNCTION("""COMPUTED_VALUE"""),"English, German")</f>
        <v>English, German</v>
      </c>
      <c r="J464" s="12" t="str">
        <f>IFERROR(__xludf.DUMMYFUNCTION("""COMPUTED_VALUE"""),"English")</f>
        <v>English</v>
      </c>
      <c r="K464" s="13">
        <f>IFERROR(__xludf.DUMMYFUNCTION("""COMPUTED_VALUE"""),44509.0)</f>
        <v>44509</v>
      </c>
      <c r="L464" s="14" t="str">
        <f>IFERROR(__xludf.DUMMYFUNCTION("""COMPUTED_VALUE"""),"https://masterplan.com/courses/marketing-mit-analytics-aufs-naechste-level-heben")</f>
        <v>https://masterplan.com/courses/marketing-mit-analytics-aufs-naechste-level-heben</v>
      </c>
    </row>
    <row r="465">
      <c r="A465" s="15" t="str">
        <f>IFERROR(__xludf.DUMMYFUNCTION("""COMPUTED_VALUE"""),"Mach deine Marke richtig bekannt")</f>
        <v>Mach deine Marke richtig bekannt</v>
      </c>
      <c r="B465" s="16" t="str">
        <f>IFERROR(__xludf.DUMMYFUNCTION("""COMPUTED_VALUE"""),"Growing Your Business Brand")</f>
        <v>Growing Your Business Brand</v>
      </c>
      <c r="C465" s="17" t="str">
        <f>IFERROR(__xludf.DUMMYFUNCTION("""COMPUTED_VALUE"""),"Jede:r weiß, dass der Verkauf wichtig ist, aber das Branding deines Unternehmens ist genauso wichtig. Denn ein schlechter erster Eindruck ist der schnellste Weg, potenzielle Kund:innen zu verlieren. Lerne die Grundlagen der Markenbildung und ein Erfolgsbe"&amp;"ispiel kennen.")</f>
        <v>Jede:r weiß, dass der Verkauf wichtig ist, aber das Branding deines Unternehmens ist genauso wichtig. Denn ein schlechter erster Eindruck ist der schnellste Weg, potenzielle Kund:innen zu verlieren. Lerne die Grundlagen der Markenbildung und ein Erfolgsbeispiel kennen.</v>
      </c>
      <c r="D465" s="17" t="str">
        <f>IFERROR(__xludf.DUMMYFUNCTION("""COMPUTED_VALUE"""),"Everyone knows that sales are important, but branding your business is just as vital. After all, a bad first impression is the quickest way to lose potential customers. Learn the basics of business branding and watch a firsthand example of a stellar brand"&amp;"ing strategy.")</f>
        <v>Everyone knows that sales are important, but branding your business is just as vital. After all, a bad first impression is the quickest way to lose potential customers. Learn the basics of business branding and watch a firsthand example of a stellar branding strategy.</v>
      </c>
      <c r="E465" s="9" t="str">
        <f>IFERROR(__xludf.DUMMYFUNCTION("""COMPUTED_VALUE"""),"Global Citizenship")</f>
        <v>Global Citizenship</v>
      </c>
      <c r="F465" s="19" t="str">
        <f>IFERROR(__xludf.DUMMYFUNCTION("""COMPUTED_VALUE"""),"GoDaddy")</f>
        <v>GoDaddy</v>
      </c>
      <c r="G465" s="20">
        <f>IFERROR(__xludf.DUMMYFUNCTION("""COMPUTED_VALUE"""),32.0)</f>
        <v>32</v>
      </c>
      <c r="H465" s="20">
        <f>IFERROR(__xludf.DUMMYFUNCTION("""COMPUTED_VALUE"""),8.0)</f>
        <v>8</v>
      </c>
      <c r="I465" s="21" t="str">
        <f>IFERROR(__xludf.DUMMYFUNCTION("""COMPUTED_VALUE"""),"English, German")</f>
        <v>English, German</v>
      </c>
      <c r="J465" s="21" t="str">
        <f>IFERROR(__xludf.DUMMYFUNCTION("""COMPUTED_VALUE"""),"English")</f>
        <v>English</v>
      </c>
      <c r="K465" s="22">
        <f>IFERROR(__xludf.DUMMYFUNCTION("""COMPUTED_VALUE"""),44509.0)</f>
        <v>44509</v>
      </c>
      <c r="L465" s="23" t="str">
        <f>IFERROR(__xludf.DUMMYFUNCTION("""COMPUTED_VALUE"""),"https://masterplan.com/courses/mach-deine-marke-richtig-bekannt")</f>
        <v>https://masterplan.com/courses/mach-deine-marke-richtig-bekannt</v>
      </c>
    </row>
    <row r="466">
      <c r="A466" s="6" t="str">
        <f>IFERROR(__xludf.DUMMYFUNCTION("""COMPUTED_VALUE"""),"Mit Content Marketing im Gespräch bleiben")</f>
        <v>Mit Content Marketing im Gespräch bleiben</v>
      </c>
      <c r="B466" s="7" t="str">
        <f>IFERROR(__xludf.DUMMYFUNCTION("""COMPUTED_VALUE"""),"Stay Present With Content Marketing")</f>
        <v>Stay Present With Content Marketing</v>
      </c>
      <c r="C466" s="8" t="str">
        <f>IFERROR(__xludf.DUMMYFUNCTION("""COMPUTED_VALUE"""),"1996 verfasste Bill Gates einen Aufsatz mit dem Titel ""Content is King"". Dieser Satz scheint heute noch aktuell zu sein. Lerne, wie du deine Marketingstrategie rund um die von dir produzierten Inhalte aufstellst und warum du gleich damit anfangen sollte"&amp;"st.")</f>
        <v>1996 verfasste Bill Gates einen Aufsatz mit dem Titel "Content is King". Dieser Satz scheint heute noch aktuell zu sein. Lerne, wie du deine Marketingstrategie rund um die von dir produzierten Inhalte aufstellst und warum du gleich damit anfangen solltest.</v>
      </c>
      <c r="D466" s="8" t="str">
        <f>IFERROR(__xludf.DUMMYFUNCTION("""COMPUTED_VALUE"""),"In 1996, Bill Gates penned a short essay titled ""Content is King."" This phrase seems truer now than it was back then. In this course, you'll learn how to set up your marketing strategy around the content you produce and why you shouldn't wait another mi"&amp;"nute to start.")</f>
        <v>In 1996, Bill Gates penned a short essay titled "Content is King." This phrase seems truer now than it was back then. In this course, you'll learn how to set up your marketing strategy around the content you produce and why you shouldn't wait another minute to start.</v>
      </c>
      <c r="E466" s="9" t="str">
        <f>IFERROR(__xludf.DUMMYFUNCTION("""COMPUTED_VALUE"""),"Global Citizenship")</f>
        <v>Global Citizenship</v>
      </c>
      <c r="F466" s="10" t="str">
        <f>IFERROR(__xludf.DUMMYFUNCTION("""COMPUTED_VALUE"""),"GoDaddy")</f>
        <v>GoDaddy</v>
      </c>
      <c r="G466" s="11">
        <f>IFERROR(__xludf.DUMMYFUNCTION("""COMPUTED_VALUE"""),55.0)</f>
        <v>55</v>
      </c>
      <c r="H466" s="11">
        <f>IFERROR(__xludf.DUMMYFUNCTION("""COMPUTED_VALUE"""),17.0)</f>
        <v>17</v>
      </c>
      <c r="I466" s="12" t="str">
        <f>IFERROR(__xludf.DUMMYFUNCTION("""COMPUTED_VALUE"""),"English, German")</f>
        <v>English, German</v>
      </c>
      <c r="J466" s="12" t="str">
        <f>IFERROR(__xludf.DUMMYFUNCTION("""COMPUTED_VALUE"""),"English")</f>
        <v>English</v>
      </c>
      <c r="K466" s="13">
        <f>IFERROR(__xludf.DUMMYFUNCTION("""COMPUTED_VALUE"""),44505.0)</f>
        <v>44505</v>
      </c>
      <c r="L466" s="14" t="str">
        <f>IFERROR(__xludf.DUMMYFUNCTION("""COMPUTED_VALUE"""),"https://masterplan.com/courses/mit-content-marketing-im-gespraech-bleiben")</f>
        <v>https://masterplan.com/courses/mit-content-marketing-im-gespraech-bleiben</v>
      </c>
    </row>
    <row r="467">
      <c r="A467" s="15" t="str">
        <f>IFERROR(__xludf.DUMMYFUNCTION("""COMPUTED_VALUE"""),"SEO für den Online-Handel")</f>
        <v>SEO für den Online-Handel</v>
      </c>
      <c r="B467" s="16" t="str">
        <f>IFERROR(__xludf.DUMMYFUNCTION("""COMPUTED_VALUE"""),"SEO for E-Commerce")</f>
        <v>SEO for E-Commerce</v>
      </c>
      <c r="C467" s="17" t="str">
        <f>IFERROR(__xludf.DUMMYFUNCTION("""COMPUTED_VALUE"""),"In diesem Quick Take gibt dir Google Search Advocate Daniel Waisberg eine Einführung in ein Top-Thema des Online-Handels: SEO. Erfahre, wie du SEO effektiv in deine Seite einbindest und du die Performance deiner Inhalte in der Google-Suche misst und verbe"&amp;"sserst.")</f>
        <v>In diesem Quick Take gibt dir Google Search Advocate Daniel Waisberg eine Einführung in ein Top-Thema des Online-Handels: SEO. Erfahre, wie du SEO effektiv in deine Seite einbindest und du die Performance deiner Inhalte in der Google-Suche misst und verbesserst.</v>
      </c>
      <c r="D467" s="17" t="str">
        <f>IFERROR(__xludf.DUMMYFUNCTION("""COMPUTED_VALUE"""),"In this Quick Take, Google Search Advocate Daniel Waisberg walks you through a top concern for any E-Commerce business: SEO. Learn how to effectively incorporate SEO into your site, and how to monitor and improve your content's performance on Google Searc"&amp;"h results.")</f>
        <v>In this Quick Take, Google Search Advocate Daniel Waisberg walks you through a top concern for any E-Commerce business: SEO. Learn how to effectively incorporate SEO into your site, and how to monitor and improve your content's performance on Google Search results.</v>
      </c>
      <c r="E467" s="9" t="str">
        <f>IFERROR(__xludf.DUMMYFUNCTION("""COMPUTED_VALUE"""),"Global Citizenship")</f>
        <v>Global Citizenship</v>
      </c>
      <c r="F467" s="19" t="str">
        <f>IFERROR(__xludf.DUMMYFUNCTION("""COMPUTED_VALUE"""),"Google - Daniel Waisberg")</f>
        <v>Google - Daniel Waisberg</v>
      </c>
      <c r="G467" s="20">
        <f>IFERROR(__xludf.DUMMYFUNCTION("""COMPUTED_VALUE"""),12.0)</f>
        <v>12</v>
      </c>
      <c r="H467" s="20">
        <f>IFERROR(__xludf.DUMMYFUNCTION("""COMPUTED_VALUE"""),4.0)</f>
        <v>4</v>
      </c>
      <c r="I467" s="21" t="str">
        <f>IFERROR(__xludf.DUMMYFUNCTION("""COMPUTED_VALUE"""),"English, German")</f>
        <v>English, German</v>
      </c>
      <c r="J467" s="21" t="str">
        <f>IFERROR(__xludf.DUMMYFUNCTION("""COMPUTED_VALUE"""),"English, German")</f>
        <v>English, German</v>
      </c>
      <c r="K467" s="22">
        <f>IFERROR(__xludf.DUMMYFUNCTION("""COMPUTED_VALUE"""),44501.0)</f>
        <v>44501</v>
      </c>
      <c r="L467" s="23" t="str">
        <f>IFERROR(__xludf.DUMMYFUNCTION("""COMPUTED_VALUE"""),"https://masterplan.com/courses/seo-fuer-den-online-handel")</f>
        <v>https://masterplan.com/courses/seo-fuer-den-online-handel</v>
      </c>
    </row>
    <row r="468">
      <c r="A468" s="6" t="str">
        <f>IFERROR(__xludf.DUMMYFUNCTION("""COMPUTED_VALUE"""),"Google Search Console für Entwickler")</f>
        <v>Google Search Console für Entwickler</v>
      </c>
      <c r="B468" s="7" t="str">
        <f>IFERROR(__xludf.DUMMYFUNCTION("""COMPUTED_VALUE"""),"Google Search Console for Developers")</f>
        <v>Google Search Console for Developers</v>
      </c>
      <c r="C468" s="8" t="str">
        <f>IFERROR(__xludf.DUMMYFUNCTION("""COMPUTED_VALUE"""),"Was können Entwickler:innen von den Metriken in Google Search Console erfahren? In diesem Quick Take lernst du, wie du wertvolle Daten nutzt, die Google automatisch zur Leistung deiner Website sammelt, um sicherzustellen, dass sie gesund, auffindbar und o"&amp;"ptimiert ist.")</f>
        <v>Was können Entwickler:innen von den Metriken in Google Search Console erfahren? In diesem Quick Take lernst du, wie du wertvolle Daten nutzt, die Google automatisch zur Leistung deiner Website sammelt, um sicherzustellen, dass sie gesund, auffindbar und optimiert ist.</v>
      </c>
      <c r="D468" s="8" t="str">
        <f>IFERROR(__xludf.DUMMYFUNCTION("""COMPUTED_VALUE"""),"What can a developer learn from the metrics available on Google Search Console? In this Quick Take, learn how to utilize the valuable data Google automatically collects on your website's performance so you can ensure your websites are healthy, findable, a"&amp;"nd optimized.")</f>
        <v>What can a developer learn from the metrics available on Google Search Console? In this Quick Take, learn how to utilize the valuable data Google automatically collects on your website's performance so you can ensure your websites are healthy, findable, and optimized.</v>
      </c>
      <c r="E468" s="27" t="str">
        <f>IFERROR(__xludf.DUMMYFUNCTION("""COMPUTED_VALUE"""),"Tools &amp; Tutorials")</f>
        <v>Tools &amp; Tutorials</v>
      </c>
      <c r="F468" s="10" t="str">
        <f>IFERROR(__xludf.DUMMYFUNCTION("""COMPUTED_VALUE"""),"Google - Daniel Waisberg")</f>
        <v>Google - Daniel Waisberg</v>
      </c>
      <c r="G468" s="11">
        <f>IFERROR(__xludf.DUMMYFUNCTION("""COMPUTED_VALUE"""),12.0)</f>
        <v>12</v>
      </c>
      <c r="H468" s="11">
        <f>IFERROR(__xludf.DUMMYFUNCTION("""COMPUTED_VALUE"""),4.0)</f>
        <v>4</v>
      </c>
      <c r="I468" s="12" t="str">
        <f>IFERROR(__xludf.DUMMYFUNCTION("""COMPUTED_VALUE"""),"English, German")</f>
        <v>English, German</v>
      </c>
      <c r="J468" s="12" t="str">
        <f>IFERROR(__xludf.DUMMYFUNCTION("""COMPUTED_VALUE"""),"English, German")</f>
        <v>English, German</v>
      </c>
      <c r="K468" s="13">
        <f>IFERROR(__xludf.DUMMYFUNCTION("""COMPUTED_VALUE"""),44501.0)</f>
        <v>44501</v>
      </c>
      <c r="L468" s="14" t="str">
        <f>IFERROR(__xludf.DUMMYFUNCTION("""COMPUTED_VALUE"""),"https://masterplan.com/courses/google-search-console-fuer-entwickler")</f>
        <v>https://masterplan.com/courses/google-search-console-fuer-entwickler</v>
      </c>
    </row>
    <row r="469">
      <c r="A469" s="15" t="str">
        <f>IFERROR(__xludf.DUMMYFUNCTION("""COMPUTED_VALUE"""),"Google-Suche für Einsteiger")</f>
        <v>Google-Suche für Einsteiger</v>
      </c>
      <c r="B469" s="16" t="str">
        <f>IFERROR(__xludf.DUMMYFUNCTION("""COMPUTED_VALUE"""),"Google Search for Beginners")</f>
        <v>Google Search for Beginners</v>
      </c>
      <c r="C469" s="17" t="str">
        <f>IFERROR(__xludf.DUMMYFUNCTION("""COMPUTED_VALUE"""),"Wie kann die Google-Suche deinem Unternehmen dabei helfen, seine Ziele zu erreichen? Dieser Kurs erklärt, wie die Google-Suche Webseiten ""crawlt"", ""indexiert"" und ""rankt"" und wie du diese Information nutzen kannst, um die Webpräsenz deines Unternehm"&amp;"ens zu optimieren.")</f>
        <v>Wie kann die Google-Suche deinem Unternehmen dabei helfen, seine Ziele zu erreichen? Dieser Kurs erklärt, wie die Google-Suche Webseiten "crawlt", "indexiert" und "rankt" und wie du diese Information nutzen kannst, um die Webpräsenz deines Unternehmens zu optimieren.</v>
      </c>
      <c r="D469" s="17" t="str">
        <f>IFERROR(__xludf.DUMMYFUNCTION("""COMPUTED_VALUE"""),"How can a deeper understanding of Google Search help your business reach its goals? This course explains how Google Search ""crawls"", ""indexes"", and ""ranks"" websites for their search results, and how you can use that information to optimize your busi"&amp;"ness' web presence.")</f>
        <v>How can a deeper understanding of Google Search help your business reach its goals? This course explains how Google Search "crawls", "indexes", and "ranks" websites for their search results, and how you can use that information to optimize your business' web presence.</v>
      </c>
      <c r="E469" s="29" t="str">
        <f>IFERROR(__xludf.DUMMYFUNCTION("""COMPUTED_VALUE"""),"Thinking and Deciding Clearly")</f>
        <v>Thinking and Deciding Clearly</v>
      </c>
      <c r="F469" s="19" t="str">
        <f>IFERROR(__xludf.DUMMYFUNCTION("""COMPUTED_VALUE"""),"Google - Daniel Waisberg")</f>
        <v>Google - Daniel Waisberg</v>
      </c>
      <c r="G469" s="20">
        <f>IFERROR(__xludf.DUMMYFUNCTION("""COMPUTED_VALUE"""),40.0)</f>
        <v>40</v>
      </c>
      <c r="H469" s="20">
        <f>IFERROR(__xludf.DUMMYFUNCTION("""COMPUTED_VALUE"""),33.0)</f>
        <v>33</v>
      </c>
      <c r="I469" s="21" t="str">
        <f>IFERROR(__xludf.DUMMYFUNCTION("""COMPUTED_VALUE"""),"English, German")</f>
        <v>English, German</v>
      </c>
      <c r="J469" s="21" t="str">
        <f>IFERROR(__xludf.DUMMYFUNCTION("""COMPUTED_VALUE"""),"English, German")</f>
        <v>English, German</v>
      </c>
      <c r="K469" s="22">
        <f>IFERROR(__xludf.DUMMYFUNCTION("""COMPUTED_VALUE"""),44501.0)</f>
        <v>44501</v>
      </c>
      <c r="L469" s="23" t="str">
        <f>IFERROR(__xludf.DUMMYFUNCTION("""COMPUTED_VALUE"""),"https://masterplan.com/courses/google-suche-fuer-einsteiger")</f>
        <v>https://masterplan.com/courses/google-suche-fuer-einsteiger</v>
      </c>
    </row>
    <row r="470">
      <c r="A470" s="6" t="str">
        <f>IFERROR(__xludf.DUMMYFUNCTION("""COMPUTED_VALUE"""),"Google Search Console")</f>
        <v>Google Search Console</v>
      </c>
      <c r="B470" s="7" t="str">
        <f>IFERROR(__xludf.DUMMYFUNCTION("""COMPUTED_VALUE"""),"Google Search Console")</f>
        <v>Google Search Console</v>
      </c>
      <c r="C470" s="8" t="str">
        <f>IFERROR(__xludf.DUMMYFUNCTION("""COMPUTED_VALUE"""),"Wie kann dich Google Search Console bei der Optimierung deiner Website unterstützen? In diesem Kurs erklärt dir Google Search Advocate Daniel Waisberg die Tools, mit denen du deinen Suchauftritt verbessern und mehr organischen Traffic auf deine Seite hole"&amp;"n kannst.")</f>
        <v>Wie kann dich Google Search Console bei der Optimierung deiner Website unterstützen? In diesem Kurs erklärt dir Google Search Advocate Daniel Waisberg die Tools, mit denen du deinen Suchauftritt verbessern und mehr organischen Traffic auf deine Seite holen kannst.</v>
      </c>
      <c r="D470" s="8" t="str">
        <f>IFERROR(__xludf.DUMMYFUNCTION("""COMPUTED_VALUE"""),"How can a better understanding of Google Search Console help you transform your website? Join Daniel Waisberg, Google Search Advocate, as he explains the tools available on Search Console to optimize your search appearance and increase organic traffic to "&amp;"your website.")</f>
        <v>How can a better understanding of Google Search Console help you transform your website? Join Daniel Waisberg, Google Search Advocate, as he explains the tools available on Search Console to optimize your search appearance and increase organic traffic to your website.</v>
      </c>
      <c r="E470" s="27" t="str">
        <f>IFERROR(__xludf.DUMMYFUNCTION("""COMPUTED_VALUE"""),"Tools &amp; Tutorials")</f>
        <v>Tools &amp; Tutorials</v>
      </c>
      <c r="F470" s="10" t="str">
        <f>IFERROR(__xludf.DUMMYFUNCTION("""COMPUTED_VALUE"""),"Google - Daniel Waisberg")</f>
        <v>Google - Daniel Waisberg</v>
      </c>
      <c r="G470" s="11">
        <f>IFERROR(__xludf.DUMMYFUNCTION("""COMPUTED_VALUE"""),123.0)</f>
        <v>123</v>
      </c>
      <c r="H470" s="11">
        <f>IFERROR(__xludf.DUMMYFUNCTION("""COMPUTED_VALUE"""),43.0)</f>
        <v>43</v>
      </c>
      <c r="I470" s="12" t="str">
        <f>IFERROR(__xludf.DUMMYFUNCTION("""COMPUTED_VALUE"""),"English, German")</f>
        <v>English, German</v>
      </c>
      <c r="J470" s="12" t="str">
        <f>IFERROR(__xludf.DUMMYFUNCTION("""COMPUTED_VALUE"""),"English, German")</f>
        <v>English, German</v>
      </c>
      <c r="K470" s="13">
        <f>IFERROR(__xludf.DUMMYFUNCTION("""COMPUTED_VALUE"""),44501.0)</f>
        <v>44501</v>
      </c>
      <c r="L470" s="14" t="str">
        <f>IFERROR(__xludf.DUMMYFUNCTION("""COMPUTED_VALUE"""),"https://masterplan.com/courses/google-search-console")</f>
        <v>https://masterplan.com/courses/google-search-console</v>
      </c>
    </row>
    <row r="471">
      <c r="A471" s="15" t="str">
        <f>IFERROR(__xludf.DUMMYFUNCTION("""COMPUTED_VALUE"""),"So vermarktest du dein Unternehmen auf Social Media")</f>
        <v>So vermarktest du dein Unternehmen auf Social Media</v>
      </c>
      <c r="B471" s="16" t="str">
        <f>IFERROR(__xludf.DUMMYFUNCTION("""COMPUTED_VALUE"""),"Marketing Your Business on Social Media")</f>
        <v>Marketing Your Business on Social Media</v>
      </c>
      <c r="C471" s="17" t="str">
        <f>IFERROR(__xludf.DUMMYFUNCTION("""COMPUTED_VALUE"""),"Du hast einen Namen für dein Unternehmen, dein Branding und ein Leitbild gefunden - jetzt musst du deinen Internetauftritt etablieren! In diesem Kurs lernst du, wie du auf den großen Social Media-Plattformen loslegst sowie Benutzernamen und #Hashtags fest"&amp;"legst.")</f>
        <v>Du hast einen Namen für dein Unternehmen, dein Branding und ein Leitbild gefunden - jetzt musst du deinen Internetauftritt etablieren! In diesem Kurs lernst du, wie du auf den großen Social Media-Plattformen loslegst sowie Benutzernamen und #Hashtags festlegst.</v>
      </c>
      <c r="D471" s="17" t="str">
        <f>IFERROR(__xludf.DUMMYFUNCTION("""COMPUTED_VALUE"""),"You’ve chosen your company name, branding, and mission statement – now it’s time to establish your online presence! In this course, you'll learn how to get started on all the major social media platforms, as well as claiming your usernames and using #hash"&amp;"tags.")</f>
        <v>You’ve chosen your company name, branding, and mission statement – now it’s time to establish your online presence! In this course, you'll learn how to get started on all the major social media platforms, as well as claiming your usernames and using #hashtags.</v>
      </c>
      <c r="E471" s="9" t="str">
        <f>IFERROR(__xludf.DUMMYFUNCTION("""COMPUTED_VALUE"""),"Global Citizenship")</f>
        <v>Global Citizenship</v>
      </c>
      <c r="F471" s="19" t="str">
        <f>IFERROR(__xludf.DUMMYFUNCTION("""COMPUTED_VALUE"""),"GoDaddy")</f>
        <v>GoDaddy</v>
      </c>
      <c r="G471" s="20">
        <f>IFERROR(__xludf.DUMMYFUNCTION("""COMPUTED_VALUE"""),60.0)</f>
        <v>60</v>
      </c>
      <c r="H471" s="20">
        <f>IFERROR(__xludf.DUMMYFUNCTION("""COMPUTED_VALUE"""),23.0)</f>
        <v>23</v>
      </c>
      <c r="I471" s="21" t="str">
        <f>IFERROR(__xludf.DUMMYFUNCTION("""COMPUTED_VALUE"""),"English, German")</f>
        <v>English, German</v>
      </c>
      <c r="J471" s="21" t="str">
        <f>IFERROR(__xludf.DUMMYFUNCTION("""COMPUTED_VALUE"""),"English")</f>
        <v>English</v>
      </c>
      <c r="K471" s="22">
        <f>IFERROR(__xludf.DUMMYFUNCTION("""COMPUTED_VALUE"""),44498.0)</f>
        <v>44498</v>
      </c>
      <c r="L471" s="23" t="str">
        <f>IFERROR(__xludf.DUMMYFUNCTION("""COMPUTED_VALUE"""),"https://masterplan.com/courses/so-vermarktest-du-dein-unternehmen-auf-social-media")</f>
        <v>https://masterplan.com/courses/so-vermarktest-du-dein-unternehmen-auf-social-media</v>
      </c>
    </row>
    <row r="472">
      <c r="A472" s="6" t="str">
        <f>IFERROR(__xludf.DUMMYFUNCTION("""COMPUTED_VALUE"""),"Glaubwürdiger sein durch Bewertungen")</f>
        <v>Glaubwürdiger sein durch Bewertungen</v>
      </c>
      <c r="B472" s="7" t="str">
        <f>IFERROR(__xludf.DUMMYFUNCTION("""COMPUTED_VALUE"""),"Get More Reviews and Credibility Online")</f>
        <v>Get More Reviews and Credibility Online</v>
      </c>
      <c r="C472" s="8" t="str">
        <f>IFERROR(__xludf.DUMMYFUNCTION("""COMPUTED_VALUE"""),"Die meisten Konsument:innen vertrauen der Meinung Fremder, wenn es um Kaufentscheidungen geht. Dein Ruf im Internet ist ein essentielles Element in deiner Marketingstrategie. In diesem Quick Take erfährst du, wie du für einen besseren ersten Eindruck onli"&amp;"ne sorgst.")</f>
        <v>Die meisten Konsument:innen vertrauen der Meinung Fremder, wenn es um Kaufentscheidungen geht. Dein Ruf im Internet ist ein essentielles Element in deiner Marketingstrategie. In diesem Quick Take erfährst du, wie du für einen besseren ersten Eindruck online sorgst.</v>
      </c>
      <c r="D472" s="8" t="str">
        <f>IFERROR(__xludf.DUMMYFUNCTION("""COMPUTED_VALUE"""),"Most customers trust the opinions of complete strangers when making purchasing decisions, and your online reputation is an essential element of your marketing strategy. In this Quick Take, you'll learn how to improve your first impression online.")</f>
        <v>Most customers trust the opinions of complete strangers when making purchasing decisions, and your online reputation is an essential element of your marketing strategy. In this Quick Take, you'll learn how to improve your first impression online.</v>
      </c>
      <c r="E472" s="9" t="str">
        <f>IFERROR(__xludf.DUMMYFUNCTION("""COMPUTED_VALUE"""),"Global Citizenship")</f>
        <v>Global Citizenship</v>
      </c>
      <c r="F472" s="10" t="str">
        <f>IFERROR(__xludf.DUMMYFUNCTION("""COMPUTED_VALUE"""),"GoDaddy")</f>
        <v>GoDaddy</v>
      </c>
      <c r="G472" s="11">
        <f>IFERROR(__xludf.DUMMYFUNCTION("""COMPUTED_VALUE"""),13.0)</f>
        <v>13</v>
      </c>
      <c r="H472" s="11">
        <f>IFERROR(__xludf.DUMMYFUNCTION("""COMPUTED_VALUE"""),4.0)</f>
        <v>4</v>
      </c>
      <c r="I472" s="12" t="str">
        <f>IFERROR(__xludf.DUMMYFUNCTION("""COMPUTED_VALUE"""),"English, German")</f>
        <v>English, German</v>
      </c>
      <c r="J472" s="12" t="str">
        <f>IFERROR(__xludf.DUMMYFUNCTION("""COMPUTED_VALUE"""),"English")</f>
        <v>English</v>
      </c>
      <c r="K472" s="13">
        <f>IFERROR(__xludf.DUMMYFUNCTION("""COMPUTED_VALUE"""),44497.0)</f>
        <v>44497</v>
      </c>
      <c r="L472" s="14" t="str">
        <f>IFERROR(__xludf.DUMMYFUNCTION("""COMPUTED_VALUE"""),"https://masterplan.com/courses/glaubwuerdiger-sein-durch-bewertungen")</f>
        <v>https://masterplan.com/courses/glaubwuerdiger-sein-durch-bewertungen</v>
      </c>
    </row>
    <row r="473">
      <c r="A473" s="15" t="str">
        <f>IFERROR(__xludf.DUMMYFUNCTION("""COMPUTED_VALUE"""),"5 Marketing-Tipps für schwierige Zeiten")</f>
        <v>5 Marketing-Tipps für schwierige Zeiten</v>
      </c>
      <c r="B473" s="16" t="str">
        <f>IFERROR(__xludf.DUMMYFUNCTION("""COMPUTED_VALUE"""),"5 Marketing Lessons for Difficult Times")</f>
        <v>5 Marketing Lessons for Difficult Times</v>
      </c>
      <c r="C473" s="17" t="str">
        <f>IFERROR(__xludf.DUMMYFUNCTION("""COMPUTED_VALUE"""),"Für viele Unternehmen hat 2020 vieles verändert. Gleichzeitig war es aber auch ein Jahr, das die Verkaufszahlen in die Höhe getrieben hat. Krisenzeiten sind nicht für alle gleich. In diesem Kurs lernst du 5 Strategien kennen, die dir durch die nächste Kri"&amp;"se helfen.")</f>
        <v>Für viele Unternehmen hat 2020 vieles verändert. Gleichzeitig war es aber auch ein Jahr, das die Verkaufszahlen in die Höhe getrieben hat. Krisenzeiten sind nicht für alle gleich. In diesem Kurs lernst du 5 Strategien kennen, die dir durch die nächste Krise helfen.</v>
      </c>
      <c r="D473" s="17" t="str">
        <f>IFERROR(__xludf.DUMMYFUNCTION("""COMPUTED_VALUE"""),"For many businesses, 2020 turned everything upside down. Yet for others, it was a year of explosive sales beyond expectations. Hard times don't hit everyone the same, and in this Quick Take, you'll learn 5 strategies to help you succeed next time the goin"&amp;"g gets rough.")</f>
        <v>For many businesses, 2020 turned everything upside down. Yet for others, it was a year of explosive sales beyond expectations. Hard times don't hit everyone the same, and in this Quick Take, you'll learn 5 strategies to help you succeed next time the going gets rough.</v>
      </c>
      <c r="E473" s="9" t="str">
        <f>IFERROR(__xludf.DUMMYFUNCTION("""COMPUTED_VALUE"""),"Global Citizenship")</f>
        <v>Global Citizenship</v>
      </c>
      <c r="F473" s="19" t="str">
        <f>IFERROR(__xludf.DUMMYFUNCTION("""COMPUTED_VALUE"""),"GoDaddy")</f>
        <v>GoDaddy</v>
      </c>
      <c r="G473" s="20">
        <f>IFERROR(__xludf.DUMMYFUNCTION("""COMPUTED_VALUE"""),7.0)</f>
        <v>7</v>
      </c>
      <c r="H473" s="20">
        <f>IFERROR(__xludf.DUMMYFUNCTION("""COMPUTED_VALUE"""),4.0)</f>
        <v>4</v>
      </c>
      <c r="I473" s="21" t="str">
        <f>IFERROR(__xludf.DUMMYFUNCTION("""COMPUTED_VALUE"""),"English, German")</f>
        <v>English, German</v>
      </c>
      <c r="J473" s="21" t="str">
        <f>IFERROR(__xludf.DUMMYFUNCTION("""COMPUTED_VALUE"""),"English")</f>
        <v>English</v>
      </c>
      <c r="K473" s="22">
        <f>IFERROR(__xludf.DUMMYFUNCTION("""COMPUTED_VALUE"""),44489.0)</f>
        <v>44489</v>
      </c>
      <c r="L473" s="23" t="str">
        <f>IFERROR(__xludf.DUMMYFUNCTION("""COMPUTED_VALUE"""),"https://masterplan.com/courses/5-marketing-tipps-fuer-schwierige-zeiten")</f>
        <v>https://masterplan.com/courses/5-marketing-tipps-fuer-schwierige-zeiten</v>
      </c>
    </row>
    <row r="474">
      <c r="A474" s="6" t="str">
        <f>IFERROR(__xludf.DUMMYFUNCTION("""COMPUTED_VALUE"""),"Media Budget für Anfänger")</f>
        <v>Media Budget für Anfänger</v>
      </c>
      <c r="B474" s="7" t="str">
        <f>IFERROR(__xludf.DUMMYFUNCTION("""COMPUTED_VALUE"""),"A Beginner's Guide to Ad Spending")</f>
        <v>A Beginner's Guide to Ad Spending</v>
      </c>
      <c r="C474" s="8" t="str">
        <f>IFERROR(__xludf.DUMMYFUNCTION("""COMPUTED_VALUE"""),"Wenn du in Suchmaschinenwerbung (nach dem Pay-Per-Click-Prinzip) investierst, musst du sicherstellen, dass du damit die richtige Kundschaft erreichst. In diesem Kurs lernst du, wie du dein PPC optimierst und damit mehr als nur die Sichtbarkeit deiner Webs"&amp;"ite erhöhst.")</f>
        <v>Wenn du in Suchmaschinenwerbung (nach dem Pay-Per-Click-Prinzip) investierst, musst du sicherstellen, dass du damit die richtige Kundschaft erreichst. In diesem Kurs lernst du, wie du dein PPC optimierst und damit mehr als nur die Sichtbarkeit deiner Website erhöhst.</v>
      </c>
      <c r="D474" s="8" t="str">
        <f>IFERROR(__xludf.DUMMYFUNCTION("""COMPUTED_VALUE"""),"If you're going to invest in search engine PPC (or Pay-Per-Click) Ads, then you want to make sure you're actually reaching the right customers. In this Quick Take course, you'll learn how to optimize your PPCs and turn them into more than just traffic to "&amp;"your website.")</f>
        <v>If you're going to invest in search engine PPC (or Pay-Per-Click) Ads, then you want to make sure you're actually reaching the right customers. In this Quick Take course, you'll learn how to optimize your PPCs and turn them into more than just traffic to your website.</v>
      </c>
      <c r="E474" s="9" t="str">
        <f>IFERROR(__xludf.DUMMYFUNCTION("""COMPUTED_VALUE"""),"Global Citizenship")</f>
        <v>Global Citizenship</v>
      </c>
      <c r="F474" s="10" t="str">
        <f>IFERROR(__xludf.DUMMYFUNCTION("""COMPUTED_VALUE"""),"GoDaddy")</f>
        <v>GoDaddy</v>
      </c>
      <c r="G474" s="11">
        <f>IFERROR(__xludf.DUMMYFUNCTION("""COMPUTED_VALUE"""),11.0)</f>
        <v>11</v>
      </c>
      <c r="H474" s="11">
        <f>IFERROR(__xludf.DUMMYFUNCTION("""COMPUTED_VALUE"""),4.0)</f>
        <v>4</v>
      </c>
      <c r="I474" s="12" t="str">
        <f>IFERROR(__xludf.DUMMYFUNCTION("""COMPUTED_VALUE"""),"English, German")</f>
        <v>English, German</v>
      </c>
      <c r="J474" s="12" t="str">
        <f>IFERROR(__xludf.DUMMYFUNCTION("""COMPUTED_VALUE"""),"English")</f>
        <v>English</v>
      </c>
      <c r="K474" s="13">
        <f>IFERROR(__xludf.DUMMYFUNCTION("""COMPUTED_VALUE"""),44488.0)</f>
        <v>44488</v>
      </c>
      <c r="L474" s="14" t="str">
        <f>IFERROR(__xludf.DUMMYFUNCTION("""COMPUTED_VALUE"""),"https://masterplan.com/courses/media-budget-fuer-anfaenger")</f>
        <v>https://masterplan.com/courses/media-budget-fuer-anfaenger</v>
      </c>
    </row>
    <row r="475">
      <c r="A475" s="15" t="str">
        <f>IFERROR(__xludf.DUMMYFUNCTION("""COMPUTED_VALUE"""),"Erfolgreich verhandeln IV: Sieben Techniken")</f>
        <v>Erfolgreich verhandeln IV: Sieben Techniken</v>
      </c>
      <c r="B475" s="16" t="str">
        <f>IFERROR(__xludf.DUMMYFUNCTION("""COMPUTED_VALUE"""),"Successful Negotiation IV: Seven Techniques")</f>
        <v>Successful Negotiation IV: Seven Techniques</v>
      </c>
      <c r="C475" s="17" t="str">
        <f>IFERROR(__xludf.DUMMYFUNCTION("""COMPUTED_VALUE"""),"Wie ein Profi zu verhandeln ist leichter als gedacht. Matthias präsentiert dir in diesem Kurs sieben Techniken, mit denen deine Verhandlung zum vollen Erfolg wird. Von der Betonung von Gemeinsamkeiten, das Setzen der Agenda, bis hin zu einer geeigneten Zu"&amp;"sammenfassung.")</f>
        <v>Wie ein Profi zu verhandeln ist leichter als gedacht. Matthias präsentiert dir in diesem Kurs sieben Techniken, mit denen deine Verhandlung zum vollen Erfolg wird. Von der Betonung von Gemeinsamkeiten, das Setzen der Agenda, bis hin zu einer geeigneten Zusammenfassung.</v>
      </c>
      <c r="D475" s="17" t="str">
        <f>IFERROR(__xludf.DUMMYFUNCTION("""COMPUTED_VALUE"""),"Negotiating like a pro is easier than you think. In this course, Matthias presents seven tactics to make your negotiation a complete success. From emphasizing common ground, to setting the agenda – here's what the pros have in their negotiation toolbox!")</f>
        <v>Negotiating like a pro is easier than you think. In this course, Matthias presents seven tactics to make your negotiation a complete success. From emphasizing common ground, to setting the agenda – here's what the pros have in their negotiation toolbox!</v>
      </c>
      <c r="E475" s="9" t="str">
        <f>IFERROR(__xludf.DUMMYFUNCTION("""COMPUTED_VALUE"""),"Global Citizenship")</f>
        <v>Global Citizenship</v>
      </c>
      <c r="F475" s="19" t="str">
        <f>IFERROR(__xludf.DUMMYFUNCTION("""COMPUTED_VALUE"""),"Zeit Akademie - Matthias Schranner")</f>
        <v>Zeit Akademie - Matthias Schranner</v>
      </c>
      <c r="G475" s="20">
        <f>IFERROR(__xludf.DUMMYFUNCTION("""COMPUTED_VALUE"""),25.0)</f>
        <v>25</v>
      </c>
      <c r="H475" s="20">
        <f>IFERROR(__xludf.DUMMYFUNCTION("""COMPUTED_VALUE"""),13.0)</f>
        <v>13</v>
      </c>
      <c r="I475" s="21" t="str">
        <f>IFERROR(__xludf.DUMMYFUNCTION("""COMPUTED_VALUE"""),"English, German")</f>
        <v>English, German</v>
      </c>
      <c r="J475" s="21" t="str">
        <f>IFERROR(__xludf.DUMMYFUNCTION("""COMPUTED_VALUE"""),"German")</f>
        <v>German</v>
      </c>
      <c r="K475" s="22">
        <f>IFERROR(__xludf.DUMMYFUNCTION("""COMPUTED_VALUE"""),44484.0)</f>
        <v>44484</v>
      </c>
      <c r="L475" s="23" t="str">
        <f>IFERROR(__xludf.DUMMYFUNCTION("""COMPUTED_VALUE"""),"https://masterplan.com/courses/erfolgreich-verhandeln-4-sieben-techniken")</f>
        <v>https://masterplan.com/courses/erfolgreich-verhandeln-4-sieben-techniken</v>
      </c>
    </row>
    <row r="476">
      <c r="A476" s="6" t="str">
        <f>IFERROR(__xludf.DUMMYFUNCTION("""COMPUTED_VALUE"""),"Erfolgreich verhandeln VI: Gekonnt scheitern")</f>
        <v>Erfolgreich verhandeln VI: Gekonnt scheitern</v>
      </c>
      <c r="B476" s="7" t="str">
        <f>IFERROR(__xludf.DUMMYFUNCTION("""COMPUTED_VALUE"""),"Successful Negotiation VI: Failing Skillfully")</f>
        <v>Successful Negotiation VI: Failing Skillfully</v>
      </c>
      <c r="C476" s="8" t="str">
        <f>IFERROR(__xludf.DUMMYFUNCTION("""COMPUTED_VALUE"""),"Wenn sich die Fronten verhärten, ist die Eskalation nicht mehr abwendbar. Wie kannst du mit diesem Scheitern der Verhandlung umgehen? Kannst du dieses ""Scheitern"" sogar produktiv nutzen? Wie du trotz Eskalation zu einer Einigung kommst, erfährst du in d"&amp;"iesem Kurs.")</f>
        <v>Wenn sich die Fronten verhärten, ist die Eskalation nicht mehr abwendbar. Wie kannst du mit diesem Scheitern der Verhandlung umgehen? Kannst du dieses "Scheitern" sogar produktiv nutzen? Wie du trotz Eskalation zu einer Einigung kommst, erfährst du in diesem Kurs.</v>
      </c>
      <c r="D476" s="8" t="str">
        <f>IFERROR(__xludf.DUMMYFUNCTION("""COMPUTED_VALUE"""),"When a negotiation reaches a standstill, sometimes escalation can't be avoided. Is this a failure of the negotiation, or can you use it productively? In the final course of our ""Successful Negotiation"" series, you'll learn how to reach an agreement desp"&amp;"ite escalation.")</f>
        <v>When a negotiation reaches a standstill, sometimes escalation can't be avoided. Is this a failure of the negotiation, or can you use it productively? In the final course of our "Successful Negotiation" series, you'll learn how to reach an agreement despite escalation.</v>
      </c>
      <c r="E476" s="9" t="str">
        <f>IFERROR(__xludf.DUMMYFUNCTION("""COMPUTED_VALUE"""),"Global Citizenship")</f>
        <v>Global Citizenship</v>
      </c>
      <c r="F476" s="10" t="str">
        <f>IFERROR(__xludf.DUMMYFUNCTION("""COMPUTED_VALUE"""),"Zeit Akademie - Matthias Schranner")</f>
        <v>Zeit Akademie - Matthias Schranner</v>
      </c>
      <c r="G476" s="11">
        <f>IFERROR(__xludf.DUMMYFUNCTION("""COMPUTED_VALUE"""),33.0)</f>
        <v>33</v>
      </c>
      <c r="H476" s="11">
        <f>IFERROR(__xludf.DUMMYFUNCTION("""COMPUTED_VALUE"""),14.0)</f>
        <v>14</v>
      </c>
      <c r="I476" s="12" t="str">
        <f>IFERROR(__xludf.DUMMYFUNCTION("""COMPUTED_VALUE"""),"English, German")</f>
        <v>English, German</v>
      </c>
      <c r="J476" s="12" t="str">
        <f>IFERROR(__xludf.DUMMYFUNCTION("""COMPUTED_VALUE"""),"German")</f>
        <v>German</v>
      </c>
      <c r="K476" s="13">
        <f>IFERROR(__xludf.DUMMYFUNCTION("""COMPUTED_VALUE"""),44484.0)</f>
        <v>44484</v>
      </c>
      <c r="L476" s="14" t="str">
        <f>IFERROR(__xludf.DUMMYFUNCTION("""COMPUTED_VALUE"""),"https://masterplan.com/courses/erfolgreich-verhandeln-6-gekonnt-scheitern")</f>
        <v>https://masterplan.com/courses/erfolgreich-verhandeln-6-gekonnt-scheitern</v>
      </c>
    </row>
    <row r="477">
      <c r="A477" s="15" t="str">
        <f>IFERROR(__xludf.DUMMYFUNCTION("""COMPUTED_VALUE"""),"Erfolgreich verhandeln I: Grundzüge ")</f>
        <v>Erfolgreich verhandeln I: Grundzüge </v>
      </c>
      <c r="B477" s="16" t="str">
        <f>IFERROR(__xludf.DUMMYFUNCTION("""COMPUTED_VALUE"""),"Successful Negotiation I: Basics ")</f>
        <v>Successful Negotiation I: Basics </v>
      </c>
      <c r="C477" s="17" t="str">
        <f>IFERROR(__xludf.DUMMYFUNCTION("""COMPUTED_VALUE"""),"Jeden Tag verhandeln wir, ob im Beruf oder im Alltag. Die Themen reichen über eine Gehaltserhöhung bis hin zum nächsten gemeinsamen Urlaubsort. Im ersten Kurs unserer Kursreihe ""Erfolgreich verhandeln"" erfährst du von Matthias Schranner die Grundzüge ei"&amp;"ner Verhandlung.")</f>
        <v>Jeden Tag verhandeln wir, ob im Beruf oder im Alltag. Die Themen reichen über eine Gehaltserhöhung bis hin zum nächsten gemeinsamen Urlaubsort. Im ersten Kurs unserer Kursreihe "Erfolgreich verhandeln" erfährst du von Matthias Schranner die Grundzüge einer Verhandlung.</v>
      </c>
      <c r="D477" s="17" t="str">
        <f>IFERROR(__xludf.DUMMYFUNCTION("""COMPUTED_VALUE"""),"Every day we negotiate, whether at work or in everyday life, over a salary increase or the next shared vacation spot. In the first course of our ""Successful Negotiation"" series you will learn the basics of a negotiation from Matthias Schranner.")</f>
        <v>Every day we negotiate, whether at work or in everyday life, over a salary increase or the next shared vacation spot. In the first course of our "Successful Negotiation" series you will learn the basics of a negotiation from Matthias Schranner.</v>
      </c>
      <c r="E477" s="9" t="str">
        <f>IFERROR(__xludf.DUMMYFUNCTION("""COMPUTED_VALUE"""),"Global Citizenship")</f>
        <v>Global Citizenship</v>
      </c>
      <c r="F477" s="19" t="str">
        <f>IFERROR(__xludf.DUMMYFUNCTION("""COMPUTED_VALUE"""),"Zeit Akademie - Matthias Schranner")</f>
        <v>Zeit Akademie - Matthias Schranner</v>
      </c>
      <c r="G477" s="20">
        <f>IFERROR(__xludf.DUMMYFUNCTION("""COMPUTED_VALUE"""),24.0)</f>
        <v>24</v>
      </c>
      <c r="H477" s="20">
        <f>IFERROR(__xludf.DUMMYFUNCTION("""COMPUTED_VALUE"""),16.0)</f>
        <v>16</v>
      </c>
      <c r="I477" s="21" t="str">
        <f>IFERROR(__xludf.DUMMYFUNCTION("""COMPUTED_VALUE"""),"English, German")</f>
        <v>English, German</v>
      </c>
      <c r="J477" s="21" t="str">
        <f>IFERROR(__xludf.DUMMYFUNCTION("""COMPUTED_VALUE"""),"German")</f>
        <v>German</v>
      </c>
      <c r="K477" s="22">
        <f>IFERROR(__xludf.DUMMYFUNCTION("""COMPUTED_VALUE"""),44484.0)</f>
        <v>44484</v>
      </c>
      <c r="L477" s="23" t="str">
        <f>IFERROR(__xludf.DUMMYFUNCTION("""COMPUTED_VALUE"""),"https://masterplan.com/courses/erfolgreich-verhandeln-1-grundzuege")</f>
        <v>https://masterplan.com/courses/erfolgreich-verhandeln-1-grundzuege</v>
      </c>
    </row>
    <row r="478">
      <c r="A478" s="6" t="str">
        <f>IFERROR(__xludf.DUMMYFUNCTION("""COMPUTED_VALUE"""),"Erfolgreich verhandeln V: Strategien des FBI")</f>
        <v>Erfolgreich verhandeln V: Strategien des FBI</v>
      </c>
      <c r="B478" s="7" t="str">
        <f>IFERROR(__xludf.DUMMYFUNCTION("""COMPUTED_VALUE"""),"Successful Negotiation V: FBI Strategies")</f>
        <v>Successful Negotiation V: FBI Strategies</v>
      </c>
      <c r="C478" s="8" t="str">
        <f>IFERROR(__xludf.DUMMYFUNCTION("""COMPUTED_VALUE"""),"Negotiator, Commander und Entscheidungsträger:in - mit diesen drei Rollen bestreitet das FBI Verhandlungen. Doch welche Aufgaben haben diese Rollen? Gibt es nützliche Praxistipps? Nach diesem Kurs bestreitest du Verhandlung erfolgreich wie das FBI.")</f>
        <v>Negotiator, Commander und Entscheidungsträger:in - mit diesen drei Rollen bestreitet das FBI Verhandlungen. Doch welche Aufgaben haben diese Rollen? Gibt es nützliche Praxistipps? Nach diesem Kurs bestreitest du Verhandlung erfolgreich wie das FBI.</v>
      </c>
      <c r="D478" s="8" t="str">
        <f>IFERROR(__xludf.DUMMYFUNCTION("""COMPUTED_VALUE"""),"Negotiator, commander and decision-maker– the FBI uses these three roles to conduct negotiations. But what are the tasks of these roles? Are there any useful practical tips? After this course, you will be able to successfully negotiate like the FBI.")</f>
        <v>Negotiator, commander and decision-maker– the FBI uses these three roles to conduct negotiations. But what are the tasks of these roles? Are there any useful practical tips? After this course, you will be able to successfully negotiate like the FBI.</v>
      </c>
      <c r="E478" s="9" t="str">
        <f>IFERROR(__xludf.DUMMYFUNCTION("""COMPUTED_VALUE"""),"Global Citizenship")</f>
        <v>Global Citizenship</v>
      </c>
      <c r="F478" s="10" t="str">
        <f>IFERROR(__xludf.DUMMYFUNCTION("""COMPUTED_VALUE"""),"Zeit Akademie - Matthias Schranner")</f>
        <v>Zeit Akademie - Matthias Schranner</v>
      </c>
      <c r="G478" s="11">
        <f>IFERROR(__xludf.DUMMYFUNCTION("""COMPUTED_VALUE"""),25.0)</f>
        <v>25</v>
      </c>
      <c r="H478" s="11">
        <f>IFERROR(__xludf.DUMMYFUNCTION("""COMPUTED_VALUE"""),16.0)</f>
        <v>16</v>
      </c>
      <c r="I478" s="12" t="str">
        <f>IFERROR(__xludf.DUMMYFUNCTION("""COMPUTED_VALUE"""),"English, German")</f>
        <v>English, German</v>
      </c>
      <c r="J478" s="12" t="str">
        <f>IFERROR(__xludf.DUMMYFUNCTION("""COMPUTED_VALUE"""),"German")</f>
        <v>German</v>
      </c>
      <c r="K478" s="13">
        <f>IFERROR(__xludf.DUMMYFUNCTION("""COMPUTED_VALUE"""),44484.0)</f>
        <v>44484</v>
      </c>
      <c r="L478" s="14" t="str">
        <f>IFERROR(__xludf.DUMMYFUNCTION("""COMPUTED_VALUE"""),"https://masterplan.com/courses/erfolgreich-verhandeln-5-strategien-des-fbi")</f>
        <v>https://masterplan.com/courses/erfolgreich-verhandeln-5-strategien-des-fbi</v>
      </c>
    </row>
    <row r="479">
      <c r="A479" s="15" t="str">
        <f>IFERROR(__xludf.DUMMYFUNCTION("""COMPUTED_VALUE"""),"Erfolgreich verhandeln III: Verhandlungsstrategien")</f>
        <v>Erfolgreich verhandeln III: Verhandlungsstrategien</v>
      </c>
      <c r="B479" s="16" t="str">
        <f>IFERROR(__xludf.DUMMYFUNCTION("""COMPUTED_VALUE"""),"Successful Negotiation III: Negotiation Strategies")</f>
        <v>Successful Negotiation III: Negotiation Strategies</v>
      </c>
      <c r="C479" s="17" t="str">
        <f>IFERROR(__xludf.DUMMYFUNCTION("""COMPUTED_VALUE"""),"Während du im letzten Kurs alles rund um die Zielsetzung gelernt hast, geht es nun um die richtige Strategie und damit um die Leitplanken der Verhandlung. Lerne die fünf wichtigsten Verhandlungsstrategien kennen und erfahre, wann du welche Strategie am be"&amp;"sten anwendest.")</f>
        <v>Während du im letzten Kurs alles rund um die Zielsetzung gelernt hast, geht es nun um die richtige Strategie und damit um die Leitplanken der Verhandlung. Lerne die fünf wichtigsten Verhandlungsstrategien kennen und erfahre, wann du welche Strategie am besten anwendest.</v>
      </c>
      <c r="D479" s="17" t="str">
        <f>IFERROR(__xludf.DUMMYFUNCTION("""COMPUTED_VALUE"""),"While the last course focused on setting a goal in a negotiation, now we'll focus on different methods of negotiating. In this course, you'll learn about the five most important negotiation strategies, including their strengths, weaknesses, and when best "&amp;"to use them.")</f>
        <v>While the last course focused on setting a goal in a negotiation, now we'll focus on different methods of negotiating. In this course, you'll learn about the five most important negotiation strategies, including their strengths, weaknesses, and when best to use them.</v>
      </c>
      <c r="E479" s="9" t="str">
        <f>IFERROR(__xludf.DUMMYFUNCTION("""COMPUTED_VALUE"""),"Global Citizenship")</f>
        <v>Global Citizenship</v>
      </c>
      <c r="F479" s="19" t="str">
        <f>IFERROR(__xludf.DUMMYFUNCTION("""COMPUTED_VALUE"""),"Zeit Akademie - Matthias Schranner")</f>
        <v>Zeit Akademie - Matthias Schranner</v>
      </c>
      <c r="G479" s="20">
        <f>IFERROR(__xludf.DUMMYFUNCTION("""COMPUTED_VALUE"""),31.0)</f>
        <v>31</v>
      </c>
      <c r="H479" s="20">
        <f>IFERROR(__xludf.DUMMYFUNCTION("""COMPUTED_VALUE"""),16.0)</f>
        <v>16</v>
      </c>
      <c r="I479" s="21" t="str">
        <f>IFERROR(__xludf.DUMMYFUNCTION("""COMPUTED_VALUE"""),"English, German")</f>
        <v>English, German</v>
      </c>
      <c r="J479" s="21" t="str">
        <f>IFERROR(__xludf.DUMMYFUNCTION("""COMPUTED_VALUE"""),"German")</f>
        <v>German</v>
      </c>
      <c r="K479" s="22">
        <f>IFERROR(__xludf.DUMMYFUNCTION("""COMPUTED_VALUE"""),44484.0)</f>
        <v>44484</v>
      </c>
      <c r="L479" s="23" t="str">
        <f>IFERROR(__xludf.DUMMYFUNCTION("""COMPUTED_VALUE"""),"https://masterplan.com/courses/erfolgreich-verhandeln-3-verhandlungsstrategien")</f>
        <v>https://masterplan.com/courses/erfolgreich-verhandeln-3-verhandlungsstrategien</v>
      </c>
    </row>
    <row r="480">
      <c r="A480" s="6" t="str">
        <f>IFERROR(__xludf.DUMMYFUNCTION("""COMPUTED_VALUE"""),"Erfolgreich verhandeln II: Zielsetzung")</f>
        <v>Erfolgreich verhandeln II: Zielsetzung</v>
      </c>
      <c r="B480" s="7" t="str">
        <f>IFERROR(__xludf.DUMMYFUNCTION("""COMPUTED_VALUE"""),"Successful Negotiation II: Setting Objectives")</f>
        <v>Successful Negotiation II: Setting Objectives</v>
      </c>
      <c r="C480" s="8" t="str">
        <f>IFERROR(__xludf.DUMMYFUNCTION("""COMPUTED_VALUE"""),"Eine klare Zielsetzung ist essenziell für eine erfolgreiche Verhandlung. Du solltest dir also schon vor der Verhandlung klar machen, was du rausholen willst und wo deine Schmerzgrenze liegt. Die Tipps aus diesem zweiten Kurs machen dich zum Verhandlungspr"&amp;"ofi.")</f>
        <v>Eine klare Zielsetzung ist essenziell für eine erfolgreiche Verhandlung. Du solltest dir also schon vor der Verhandlung klar machen, was du rausholen willst und wo deine Schmerzgrenze liegt. Die Tipps aus diesem zweiten Kurs machen dich zum Verhandlungsprofi.</v>
      </c>
      <c r="D480" s="8" t="str">
        <f>IFERROR(__xludf.DUMMYFUNCTION("""COMPUTED_VALUE"""),"A clear objective is essential for a successful negotiation. You should therefore be clear before the negotiation what you want to get out of it and where your pain threshold lies. The tips from this second course will make you a negotiation professional!")</f>
        <v>A clear objective is essential for a successful negotiation. You should therefore be clear before the negotiation what you want to get out of it and where your pain threshold lies. The tips from this second course will make you a negotiation professional!</v>
      </c>
      <c r="E480" s="9" t="str">
        <f>IFERROR(__xludf.DUMMYFUNCTION("""COMPUTED_VALUE"""),"Global Citizenship")</f>
        <v>Global Citizenship</v>
      </c>
      <c r="F480" s="10" t="str">
        <f>IFERROR(__xludf.DUMMYFUNCTION("""COMPUTED_VALUE"""),"Zeit Akademie - Matthias Schranner")</f>
        <v>Zeit Akademie - Matthias Schranner</v>
      </c>
      <c r="G480" s="11">
        <f>IFERROR(__xludf.DUMMYFUNCTION("""COMPUTED_VALUE"""),22.0)</f>
        <v>22</v>
      </c>
      <c r="H480" s="11">
        <f>IFERROR(__xludf.DUMMYFUNCTION("""COMPUTED_VALUE"""),11.0)</f>
        <v>11</v>
      </c>
      <c r="I480" s="12" t="str">
        <f>IFERROR(__xludf.DUMMYFUNCTION("""COMPUTED_VALUE"""),"English, German")</f>
        <v>English, German</v>
      </c>
      <c r="J480" s="12" t="str">
        <f>IFERROR(__xludf.DUMMYFUNCTION("""COMPUTED_VALUE"""),"German")</f>
        <v>German</v>
      </c>
      <c r="K480" s="13">
        <f>IFERROR(__xludf.DUMMYFUNCTION("""COMPUTED_VALUE"""),44484.0)</f>
        <v>44484</v>
      </c>
      <c r="L480" s="14" t="str">
        <f>IFERROR(__xludf.DUMMYFUNCTION("""COMPUTED_VALUE"""),"https://masterplan.com/courses/erfolgreich-verhandeln-2-zielsetzung")</f>
        <v>https://masterplan.com/courses/erfolgreich-verhandeln-2-zielsetzung</v>
      </c>
    </row>
    <row r="481">
      <c r="A481" s="15" t="str">
        <f>IFERROR(__xludf.DUMMYFUNCTION("""COMPUTED_VALUE"""),"Marketing Grundlagen: Email &amp; Content Marketing")</f>
        <v>Marketing Grundlagen: Email &amp; Content Marketing</v>
      </c>
      <c r="B481" s="16" t="str">
        <f>IFERROR(__xludf.DUMMYFUNCTION("""COMPUTED_VALUE"""),"Marketing Basics: Email &amp; Content Marketing")</f>
        <v>Marketing Basics: Email &amp; Content Marketing</v>
      </c>
      <c r="C481" s="17" t="str">
        <f>IFERROR(__xludf.DUMMYFUNCTION("""COMPUTED_VALUE"""),"Emails und soziale Medien sind tolle Optionen, um in Kontakt zu treten und zu zeigen, was deine Firma zu bieten hat! In diesem Kurs teilen wir Kenntnisse, wie du überzeugende Emails verfasst und welche Social-Media-Plattformen sich am besten für dein Unte"&amp;"rnehmen eignen.")</f>
        <v>Emails und soziale Medien sind tolle Optionen, um in Kontakt zu treten und zu zeigen, was deine Firma zu bieten hat! In diesem Kurs teilen wir Kenntnisse, wie du überzeugende Emails verfasst und welche Social-Media-Plattformen sich am besten für dein Unternehmen eignen.</v>
      </c>
      <c r="D481" s="17" t="str">
        <f>IFERROR(__xludf.DUMMYFUNCTION("""COMPUTED_VALUE"""),"Email and Social Media are great ways to engage with your customers and show them what your company can offer! In this course, you'll learn professional-grade skills from how to draft compelling emails to which social media platforms are best for your bus"&amp;"iness.")</f>
        <v>Email and Social Media are great ways to engage with your customers and show them what your company can offer! In this course, you'll learn professional-grade skills from how to draft compelling emails to which social media platforms are best for your business.</v>
      </c>
      <c r="E481" s="9" t="str">
        <f>IFERROR(__xludf.DUMMYFUNCTION("""COMPUTED_VALUE"""),"Global Citizenship")</f>
        <v>Global Citizenship</v>
      </c>
      <c r="F481" s="19" t="str">
        <f>IFERROR(__xludf.DUMMYFUNCTION("""COMPUTED_VALUE"""),"GoDaddy")</f>
        <v>GoDaddy</v>
      </c>
      <c r="G481" s="20">
        <f>IFERROR(__xludf.DUMMYFUNCTION("""COMPUTED_VALUE"""),18.0)</f>
        <v>18</v>
      </c>
      <c r="H481" s="20">
        <f>IFERROR(__xludf.DUMMYFUNCTION("""COMPUTED_VALUE"""),23.0)</f>
        <v>23</v>
      </c>
      <c r="I481" s="21" t="str">
        <f>IFERROR(__xludf.DUMMYFUNCTION("""COMPUTED_VALUE"""),"English, German")</f>
        <v>English, German</v>
      </c>
      <c r="J481" s="21" t="str">
        <f>IFERROR(__xludf.DUMMYFUNCTION("""COMPUTED_VALUE"""),"English")</f>
        <v>English</v>
      </c>
      <c r="K481" s="22">
        <f>IFERROR(__xludf.DUMMYFUNCTION("""COMPUTED_VALUE"""),44482.0)</f>
        <v>44482</v>
      </c>
      <c r="L481" s="23" t="str">
        <f>IFERROR(__xludf.DUMMYFUNCTION("""COMPUTED_VALUE"""),"https://masterplan.com/courses/marketing-grundlagen-email-content-marketing")</f>
        <v>https://masterplan.com/courses/marketing-grundlagen-email-content-marketing</v>
      </c>
    </row>
    <row r="482">
      <c r="A482" s="6" t="str">
        <f>IFERROR(__xludf.DUMMYFUNCTION("""COMPUTED_VALUE"""),"Marketing Grundlagen: SMART planen")</f>
        <v>Marketing Grundlagen: SMART planen</v>
      </c>
      <c r="B482" s="7" t="str">
        <f>IFERROR(__xludf.DUMMYFUNCTION("""COMPUTED_VALUE"""),"Marketing Basics: SMART Planning")</f>
        <v>Marketing Basics: SMART Planning</v>
      </c>
      <c r="C482" s="8" t="str">
        <f>IFERROR(__xludf.DUMMYFUNCTION("""COMPUTED_VALUE"""),"Ob du ein lokales oder multinationales Unternehmen führst, du musst deine zentrale Botschaft an deine Kund:innen kommunizieren. In diesem Kurs zu den Marketinggrundlagen lernst du, wie du deine Marketingstrategie gestaltest und wie du dein Geschäft online"&amp;" etablierst.")</f>
        <v>Ob du ein lokales oder multinationales Unternehmen führst, du musst deine zentrale Botschaft an deine Kund:innen kommunizieren. In diesem Kurs zu den Marketinggrundlagen lernst du, wie du deine Marketingstrategie gestaltest und wie du dein Geschäft online etablierst.</v>
      </c>
      <c r="D482" s="8" t="str">
        <f>IFERROR(__xludf.DUMMYFUNCTION("""COMPUTED_VALUE"""),"Whether your business is local or multinational, you'll need to communicate your core message to your customers. In this Marketing Basics course, learn how to design your marketing strategy from the ground up, along with a few tips for establishing your b"&amp;"usiness online.")</f>
        <v>Whether your business is local or multinational, you'll need to communicate your core message to your customers. In this Marketing Basics course, learn how to design your marketing strategy from the ground up, along with a few tips for establishing your business online.</v>
      </c>
      <c r="E482" s="9" t="str">
        <f>IFERROR(__xludf.DUMMYFUNCTION("""COMPUTED_VALUE"""),"Global Citizenship")</f>
        <v>Global Citizenship</v>
      </c>
      <c r="F482" s="10" t="str">
        <f>IFERROR(__xludf.DUMMYFUNCTION("""COMPUTED_VALUE"""),"GoDaddy")</f>
        <v>GoDaddy</v>
      </c>
      <c r="G482" s="11">
        <f>IFERROR(__xludf.DUMMYFUNCTION("""COMPUTED_VALUE"""),18.0)</f>
        <v>18</v>
      </c>
      <c r="H482" s="11">
        <f>IFERROR(__xludf.DUMMYFUNCTION("""COMPUTED_VALUE"""),17.0)</f>
        <v>17</v>
      </c>
      <c r="I482" s="12" t="str">
        <f>IFERROR(__xludf.DUMMYFUNCTION("""COMPUTED_VALUE"""),"English, German")</f>
        <v>English, German</v>
      </c>
      <c r="J482" s="12" t="str">
        <f>IFERROR(__xludf.DUMMYFUNCTION("""COMPUTED_VALUE"""),"English")</f>
        <v>English</v>
      </c>
      <c r="K482" s="13">
        <f>IFERROR(__xludf.DUMMYFUNCTION("""COMPUTED_VALUE"""),44481.0)</f>
        <v>44481</v>
      </c>
      <c r="L482" s="14" t="str">
        <f>IFERROR(__xludf.DUMMYFUNCTION("""COMPUTED_VALUE"""),"https://masterplan.com/courses/marketing-grundlagen-smart-planen")</f>
        <v>https://masterplan.com/courses/marketing-grundlagen-smart-planen</v>
      </c>
    </row>
    <row r="483">
      <c r="A483" s="15" t="str">
        <f>IFERROR(__xludf.DUMMYFUNCTION("""COMPUTED_VALUE"""),"Nachhaltigkeit II: Ökosysteme und Umweltschutz")</f>
        <v>Nachhaltigkeit II: Ökosysteme und Umweltschutz</v>
      </c>
      <c r="B483" s="16" t="str">
        <f>IFERROR(__xludf.DUMMYFUNCTION("""COMPUTED_VALUE"""),"Sustainability II: Protecting our Ecosystems")</f>
        <v>Sustainability II: Protecting our Ecosystems</v>
      </c>
      <c r="C483" s="17" t="str">
        <f>IFERROR(__xludf.DUMMYFUNCTION("""COMPUTED_VALUE"""),"Der Klimawandel stellt eine Herausforderung für unsere Ökosysteme dar, wodurch sich die Lebensbedingungen für Mensch und Tier verändern. Doch was für Veränderungen stehen uns bevor und was können wir dagegen tun? Dies erklärt dir Prof. Dr. Antje Boetius i"&amp;"n diesem Kurs!")</f>
        <v>Der Klimawandel stellt eine Herausforderung für unsere Ökosysteme dar, wodurch sich die Lebensbedingungen für Mensch und Tier verändern. Doch was für Veränderungen stehen uns bevor und was können wir dagegen tun? Dies erklärt dir Prof. Dr. Antje Boetius in diesem Kurs!</v>
      </c>
      <c r="D483" s="17" t="str">
        <f>IFERROR(__xludf.DUMMYFUNCTION("""COMPUTED_VALUE"""),"Climate change poses a major challenge to our ecosystems, altering the way in which both humans and animals live. But what sort of changes are we facing and what can we do about them? That's exactly what Dr. Antje Boetius explains in this course!")</f>
        <v>Climate change poses a major challenge to our ecosystems, altering the way in which both humans and animals live. But what sort of changes are we facing and what can we do about them? That's exactly what Dr. Antje Boetius explains in this course!</v>
      </c>
      <c r="E483" s="9" t="str">
        <f>IFERROR(__xludf.DUMMYFUNCTION("""COMPUTED_VALUE"""),"Global Citizenship")</f>
        <v>Global Citizenship</v>
      </c>
      <c r="F483" s="19" t="str">
        <f>IFERROR(__xludf.DUMMYFUNCTION("""COMPUTED_VALUE"""),"Zeit Akademie - Prof. Dr. Antje Boetius")</f>
        <v>Zeit Akademie - Prof. Dr. Antje Boetius</v>
      </c>
      <c r="G483" s="20">
        <f>IFERROR(__xludf.DUMMYFUNCTION("""COMPUTED_VALUE"""),36.0)</f>
        <v>36</v>
      </c>
      <c r="H483" s="20">
        <f>IFERROR(__xludf.DUMMYFUNCTION("""COMPUTED_VALUE"""),20.0)</f>
        <v>20</v>
      </c>
      <c r="I483" s="21" t="str">
        <f>IFERROR(__xludf.DUMMYFUNCTION("""COMPUTED_VALUE"""),"English, German")</f>
        <v>English, German</v>
      </c>
      <c r="J483" s="21" t="str">
        <f>IFERROR(__xludf.DUMMYFUNCTION("""COMPUTED_VALUE"""),"German")</f>
        <v>German</v>
      </c>
      <c r="K483" s="22">
        <f>IFERROR(__xludf.DUMMYFUNCTION("""COMPUTED_VALUE"""),44474.0)</f>
        <v>44474</v>
      </c>
      <c r="L483" s="23" t="str">
        <f>IFERROR(__xludf.DUMMYFUNCTION("""COMPUTED_VALUE"""),"https://masterplan.com/courses/nachhaltigkeit-2-oekosysteme-und-umweltschutz")</f>
        <v>https://masterplan.com/courses/nachhaltigkeit-2-oekosysteme-und-umweltschutz</v>
      </c>
    </row>
    <row r="484">
      <c r="A484" s="6" t="str">
        <f>IFERROR(__xludf.DUMMYFUNCTION("""COMPUTED_VALUE"""),"Nachhaltigkeit IV: Globale Nachhaltigkeitspolitik")</f>
        <v>Nachhaltigkeit IV: Globale Nachhaltigkeitspolitik</v>
      </c>
      <c r="B484" s="7" t="str">
        <f>IFERROR(__xludf.DUMMYFUNCTION("""COMPUTED_VALUE"""),"Sustainability IV: Global Sustainability Policies")</f>
        <v>Sustainability IV: Global Sustainability Policies</v>
      </c>
      <c r="C484" s="8" t="str">
        <f>IFERROR(__xludf.DUMMYFUNCTION("""COMPUTED_VALUE"""),"Um unser Klima zu schützen, sind politische Entscheidungen von Nöten. Denn wenn man den Klimawandel abmildern möchte, braucht es globale Anstrengung. Aber wie lauten die Klimaziele? Lassen sich soziale Gerechtigkeit und der Klimaschutz verbinden?")</f>
        <v>Um unser Klima zu schützen, sind politische Entscheidungen von Nöten. Denn wenn man den Klimawandel abmildern möchte, braucht es globale Anstrengung. Aber wie lauten die Klimaziele? Lassen sich soziale Gerechtigkeit und der Klimaschutz verbinden?</v>
      </c>
      <c r="D484" s="8" t="str">
        <f>IFERROR(__xludf.DUMMYFUNCTION("""COMPUTED_VALUE"""),"Political decisions are necessary to protect our climate; if we want to mitigate climate change, we need a global effort. But what are the climate goals? Can social justice and climate protection be combined?")</f>
        <v>Political decisions are necessary to protect our climate; if we want to mitigate climate change, we need a global effort. But what are the climate goals? Can social justice and climate protection be combined?</v>
      </c>
      <c r="E484" s="9" t="str">
        <f>IFERROR(__xludf.DUMMYFUNCTION("""COMPUTED_VALUE"""),"Global Citizenship")</f>
        <v>Global Citizenship</v>
      </c>
      <c r="F484" s="10" t="str">
        <f>IFERROR(__xludf.DUMMYFUNCTION("""COMPUTED_VALUE"""),"Zeit Akademie - Prof. Dr. Maja Göpel")</f>
        <v>Zeit Akademie - Prof. Dr. Maja Göpel</v>
      </c>
      <c r="G484" s="11">
        <f>IFERROR(__xludf.DUMMYFUNCTION("""COMPUTED_VALUE"""),20.0)</f>
        <v>20</v>
      </c>
      <c r="H484" s="11">
        <f>IFERROR(__xludf.DUMMYFUNCTION("""COMPUTED_VALUE"""),13.0)</f>
        <v>13</v>
      </c>
      <c r="I484" s="12" t="str">
        <f>IFERROR(__xludf.DUMMYFUNCTION("""COMPUTED_VALUE"""),"English, German")</f>
        <v>English, German</v>
      </c>
      <c r="J484" s="12" t="str">
        <f>IFERROR(__xludf.DUMMYFUNCTION("""COMPUTED_VALUE"""),"German")</f>
        <v>German</v>
      </c>
      <c r="K484" s="13">
        <f>IFERROR(__xludf.DUMMYFUNCTION("""COMPUTED_VALUE"""),44474.0)</f>
        <v>44474</v>
      </c>
      <c r="L484" s="14" t="str">
        <f>IFERROR(__xludf.DUMMYFUNCTION("""COMPUTED_VALUE"""),"https://masterplan.com/courses/nachhaltigkeit-4-globale-nachhaltigkeitspolitik")</f>
        <v>https://masterplan.com/courses/nachhaltigkeit-4-globale-nachhaltigkeitspolitik</v>
      </c>
    </row>
    <row r="485">
      <c r="A485" s="15" t="str">
        <f>IFERROR(__xludf.DUMMYFUNCTION("""COMPUTED_VALUE"""),"Nachhaltigkeit I: Den Klimawandel verstehen")</f>
        <v>Nachhaltigkeit I: Den Klimawandel verstehen</v>
      </c>
      <c r="B485" s="16" t="str">
        <f>IFERROR(__xludf.DUMMYFUNCTION("""COMPUTED_VALUE"""),"Sustainability I: Understanding Climate Change")</f>
        <v>Sustainability I: Understanding Climate Change</v>
      </c>
      <c r="C485" s="17" t="str">
        <f>IFERROR(__xludf.DUMMYFUNCTION("""COMPUTED_VALUE"""),"Willkommen zum ersten von fünf Kursen rund um das Thema Nachhaltigkeit und Klimaschutz! In diesem Kurs erklärt dir Prof. Dr. Stefan Rahmsdorf die wichtigsten Fakten und Grundlagen zum Klimawandel: Vom Treibhauseffekt, über Klimamodelle, bis zu der Kompens"&amp;"ation von CO2!")</f>
        <v>Willkommen zum ersten von fünf Kursen rund um das Thema Nachhaltigkeit und Klimaschutz! In diesem Kurs erklärt dir Prof. Dr. Stefan Rahmsdorf die wichtigsten Fakten und Grundlagen zum Klimawandel: Vom Treibhauseffekt, über Klimamodelle, bis zu der Kompensation von CO2!</v>
      </c>
      <c r="D485" s="17" t="str">
        <f>IFERROR(__xludf.DUMMYFUNCTION("""COMPUTED_VALUE"""),"Welcome to the first of five courses on sustainability and climate protection! In this module Prof. Dr. Stefan Rahmsdorf explains the most important facts and basics about climate change: From the greenhouse effect, to climate models, to the compensation "&amp;"of CO2!")</f>
        <v>Welcome to the first of five courses on sustainability and climate protection! In this module Prof. Dr. Stefan Rahmsdorf explains the most important facts and basics about climate change: From the greenhouse effect, to climate models, to the compensation of CO2!</v>
      </c>
      <c r="E485" s="9" t="str">
        <f>IFERROR(__xludf.DUMMYFUNCTION("""COMPUTED_VALUE"""),"Global Citizenship")</f>
        <v>Global Citizenship</v>
      </c>
      <c r="F485" s="19" t="str">
        <f>IFERROR(__xludf.DUMMYFUNCTION("""COMPUTED_VALUE"""),"Zeit Akademie - Prof. Dr. Stefan Rahmstorf")</f>
        <v>Zeit Akademie - Prof. Dr. Stefan Rahmstorf</v>
      </c>
      <c r="G485" s="20">
        <f>IFERROR(__xludf.DUMMYFUNCTION("""COMPUTED_VALUE"""),17.0)</f>
        <v>17</v>
      </c>
      <c r="H485" s="20">
        <f>IFERROR(__xludf.DUMMYFUNCTION("""COMPUTED_VALUE"""),13.0)</f>
        <v>13</v>
      </c>
      <c r="I485" s="21" t="str">
        <f>IFERROR(__xludf.DUMMYFUNCTION("""COMPUTED_VALUE"""),"English, German")</f>
        <v>English, German</v>
      </c>
      <c r="J485" s="21" t="str">
        <f>IFERROR(__xludf.DUMMYFUNCTION("""COMPUTED_VALUE"""),"German")</f>
        <v>German</v>
      </c>
      <c r="K485" s="22">
        <f>IFERROR(__xludf.DUMMYFUNCTION("""COMPUTED_VALUE"""),44474.0)</f>
        <v>44474</v>
      </c>
      <c r="L485" s="23" t="str">
        <f>IFERROR(__xludf.DUMMYFUNCTION("""COMPUTED_VALUE"""),"https://masterplan.com/courses/nachhaltigkeit-1-den-klimawandel-verstehen")</f>
        <v>https://masterplan.com/courses/nachhaltigkeit-1-den-klimawandel-verstehen</v>
      </c>
    </row>
    <row r="486">
      <c r="A486" s="6" t="str">
        <f>IFERROR(__xludf.DUMMYFUNCTION("""COMPUTED_VALUE"""),"Nachhaltigkeit V: Auswirkungen des Klimawandels")</f>
        <v>Nachhaltigkeit V: Auswirkungen des Klimawandels</v>
      </c>
      <c r="B486" s="7" t="str">
        <f>IFERROR(__xludf.DUMMYFUNCTION("""COMPUTED_VALUE"""),"Sustainability V: Impacts of Climate Change")</f>
        <v>Sustainability V: Impacts of Climate Change</v>
      </c>
      <c r="C486" s="8" t="str">
        <f>IFERROR(__xludf.DUMMYFUNCTION("""COMPUTED_VALUE"""),"Ein Rekordsommer jagt den nächsten - ist dies eine Folge der Klimakatastrophe? Im fünften und letzten Kurs unserer Nachhaltigkeitsreihe gibt dir Stefan eine Übersicht über die Auswirkungen des Klimawandels - von extremer Hitze bis hin zu dem steigenden Me"&amp;"eresspiegel.")</f>
        <v>Ein Rekordsommer jagt den nächsten - ist dies eine Folge der Klimakatastrophe? Im fünften und letzten Kurs unserer Nachhaltigkeitsreihe gibt dir Stefan eine Übersicht über die Auswirkungen des Klimawandels - von extremer Hitze bis hin zu dem steigenden Meeresspiegel.</v>
      </c>
      <c r="D486" s="8" t="str">
        <f>IFERROR(__xludf.DUMMYFUNCTION("""COMPUTED_VALUE"""),"One record summer after another – is this a result of climate disasters? In the fifth and final course of our sustainability series, Stefan gives you an overview of the effects of climate change – from extreme heat to rising sea levels.")</f>
        <v>One record summer after another – is this a result of climate disasters? In the fifth and final course of our sustainability series, Stefan gives you an overview of the effects of climate change – from extreme heat to rising sea levels.</v>
      </c>
      <c r="E486" s="9" t="str">
        <f>IFERROR(__xludf.DUMMYFUNCTION("""COMPUTED_VALUE"""),"Global Citizenship")</f>
        <v>Global Citizenship</v>
      </c>
      <c r="F486" s="10" t="str">
        <f>IFERROR(__xludf.DUMMYFUNCTION("""COMPUTED_VALUE"""),"Zeit Akademie - Dr. Stefan Rahmstorf")</f>
        <v>Zeit Akademie - Dr. Stefan Rahmstorf</v>
      </c>
      <c r="G486" s="11">
        <f>IFERROR(__xludf.DUMMYFUNCTION("""COMPUTED_VALUE"""),29.0)</f>
        <v>29</v>
      </c>
      <c r="H486" s="11">
        <f>IFERROR(__xludf.DUMMYFUNCTION("""COMPUTED_VALUE"""),15.0)</f>
        <v>15</v>
      </c>
      <c r="I486" s="12" t="str">
        <f>IFERROR(__xludf.DUMMYFUNCTION("""COMPUTED_VALUE"""),"English, German")</f>
        <v>English, German</v>
      </c>
      <c r="J486" s="12" t="str">
        <f>IFERROR(__xludf.DUMMYFUNCTION("""COMPUTED_VALUE"""),"German")</f>
        <v>German</v>
      </c>
      <c r="K486" s="13">
        <f>IFERROR(__xludf.DUMMYFUNCTION("""COMPUTED_VALUE"""),44474.0)</f>
        <v>44474</v>
      </c>
      <c r="L486" s="14" t="str">
        <f>IFERROR(__xludf.DUMMYFUNCTION("""COMPUTED_VALUE"""),"https://masterplan.com/courses/nachhaltigkeit-5-auswirkungen-des-klimawandels")</f>
        <v>https://masterplan.com/courses/nachhaltigkeit-5-auswirkungen-des-klimawandels</v>
      </c>
    </row>
    <row r="487">
      <c r="A487" s="15" t="str">
        <f>IFERROR(__xludf.DUMMYFUNCTION("""COMPUTED_VALUE"""),"Nachhaltigkeit III: Umweltschutz und Gesellschaft")</f>
        <v>Nachhaltigkeit III: Umweltschutz und Gesellschaft</v>
      </c>
      <c r="B487" s="16" t="str">
        <f>IFERROR(__xludf.DUMMYFUNCTION("""COMPUTED_VALUE"""),"Sustainability III: The Role of Society")</f>
        <v>Sustainability III: The Role of Society</v>
      </c>
      <c r="C487" s="17" t="str">
        <f>IFERROR(__xludf.DUMMYFUNCTION("""COMPUTED_VALUE"""),"Umweltschutz und Gesellschaft - wie hängt dies zusammen? Für mehr Nachhaltigkeit müssen sich Gesellschaften wandeln. Wie dies passiert und warum vor allem das BIP ausgedient hat, erklärt dir Prof. Dr. Maja Göpel im dritten Teil unserer Nachhaltigkeitsreih"&amp;"e.")</f>
        <v>Umweltschutz und Gesellschaft - wie hängt dies zusammen? Für mehr Nachhaltigkeit müssen sich Gesellschaften wandeln. Wie dies passiert und warum vor allem das BIP ausgedient hat, erklärt dir Prof. Dr. Maja Göpel im dritten Teil unserer Nachhaltigkeitsreihe.</v>
      </c>
      <c r="D487" s="17" t="str">
        <f>IFERROR(__xludf.DUMMYFUNCTION("""COMPUTED_VALUE"""),"Environmental protection and society– how are they connected? Organizations need to change to be more sustainable. In the third part of our sustainability series, Prof. Dr. Maja Göpel explains how this change happens and why GDP, in particular, has had it"&amp;"s day.")</f>
        <v>Environmental protection and society– how are they connected? Organizations need to change to be more sustainable. In the third part of our sustainability series, Prof. Dr. Maja Göpel explains how this change happens and why GDP, in particular, has had its day.</v>
      </c>
      <c r="E487" s="9" t="str">
        <f>IFERROR(__xludf.DUMMYFUNCTION("""COMPUTED_VALUE"""),"Global Citizenship")</f>
        <v>Global Citizenship</v>
      </c>
      <c r="F487" s="19" t="str">
        <f>IFERROR(__xludf.DUMMYFUNCTION("""COMPUTED_VALUE"""),"Zeit Akademie - Prof. Dr. Maja Göpel, Carolin Stüdemann, Aya Jaff")</f>
        <v>Zeit Akademie - Prof. Dr. Maja Göpel, Carolin Stüdemann, Aya Jaff</v>
      </c>
      <c r="G487" s="20">
        <f>IFERROR(__xludf.DUMMYFUNCTION("""COMPUTED_VALUE"""),27.0)</f>
        <v>27</v>
      </c>
      <c r="H487" s="20">
        <f>IFERROR(__xludf.DUMMYFUNCTION("""COMPUTED_VALUE"""),15.0)</f>
        <v>15</v>
      </c>
      <c r="I487" s="21" t="str">
        <f>IFERROR(__xludf.DUMMYFUNCTION("""COMPUTED_VALUE"""),"English, German")</f>
        <v>English, German</v>
      </c>
      <c r="J487" s="21" t="str">
        <f>IFERROR(__xludf.DUMMYFUNCTION("""COMPUTED_VALUE"""),"German")</f>
        <v>German</v>
      </c>
      <c r="K487" s="22">
        <f>IFERROR(__xludf.DUMMYFUNCTION("""COMPUTED_VALUE"""),44474.0)</f>
        <v>44474</v>
      </c>
      <c r="L487" s="23" t="str">
        <f>IFERROR(__xludf.DUMMYFUNCTION("""COMPUTED_VALUE"""),"https://masterplan.com/courses/nachhaltigkeit-3-umweltschutz-und-gesellschaft")</f>
        <v>https://masterplan.com/courses/nachhaltigkeit-3-umweltschutz-und-gesellschaft</v>
      </c>
    </row>
    <row r="488">
      <c r="A488" s="6" t="str">
        <f>IFERROR(__xludf.DUMMYFUNCTION("""COMPUTED_VALUE"""),"Female Leadership IV: Gemeinsam führen")</f>
        <v>Female Leadership IV: Gemeinsam führen</v>
      </c>
      <c r="B488" s="7" t="str">
        <f>IFERROR(__xludf.DUMMYFUNCTION("""COMPUTED_VALUE"""),"Female Leadership IV: Leading Together")</f>
        <v>Female Leadership IV: Leading Together</v>
      </c>
      <c r="C488" s="8" t="str">
        <f>IFERROR(__xludf.DUMMYFUNCTION("""COMPUTED_VALUE"""),"Manche Dinge lassen sich einfach nicht ändern - Rollenbilder gehören nicht dazu. In diesem Kurs erfährst du, welche Unterschiede naturgegeben sind und welche nicht, welchen Einfluss Vorbilder haben können und warum Feminismus auch Männersache ist.")</f>
        <v>Manche Dinge lassen sich einfach nicht ändern - Rollenbilder gehören nicht dazu. In diesem Kurs erfährst du, welche Unterschiede naturgegeben sind und welche nicht, welchen Einfluss Vorbilder haben können und warum Feminismus auch Männersache ist.</v>
      </c>
      <c r="D488" s="8" t="str">
        <f>IFERROR(__xludf.DUMMYFUNCTION("""COMPUTED_VALUE"""),"Certain things simply cannot be changed - role models are not one of them. In this course you will learn which distinctions are natural and which are not, what influence role models can have and why feminism is also a matter for men.")</f>
        <v>Certain things simply cannot be changed - role models are not one of them. In this course you will learn which distinctions are natural and which are not, what influence role models can have and why feminism is also a matter for men.</v>
      </c>
      <c r="E488" s="9" t="str">
        <f>IFERROR(__xludf.DUMMYFUNCTION("""COMPUTED_VALUE"""),"Global Citizenship")</f>
        <v>Global Citizenship</v>
      </c>
      <c r="F488" s="10" t="str">
        <f>IFERROR(__xludf.DUMMYFUNCTION("""COMPUTED_VALUE"""),"Zeit Akademie - Catriona McLaughlin, Prof. Dr. Paula-Irene Braslavsky, Martin Speer und Vincent-Immanuel Herr")</f>
        <v>Zeit Akademie - Catriona McLaughlin, Prof. Dr. Paula-Irene Braslavsky, Martin Speer und Vincent-Immanuel Herr</v>
      </c>
      <c r="G488" s="11">
        <f>IFERROR(__xludf.DUMMYFUNCTION("""COMPUTED_VALUE"""),72.0)</f>
        <v>72</v>
      </c>
      <c r="H488" s="11">
        <f>IFERROR(__xludf.DUMMYFUNCTION("""COMPUTED_VALUE"""),19.0)</f>
        <v>19</v>
      </c>
      <c r="I488" s="12" t="str">
        <f>IFERROR(__xludf.DUMMYFUNCTION("""COMPUTED_VALUE"""),"English, German")</f>
        <v>English, German</v>
      </c>
      <c r="J488" s="12" t="str">
        <f>IFERROR(__xludf.DUMMYFUNCTION("""COMPUTED_VALUE"""),"German")</f>
        <v>German</v>
      </c>
      <c r="K488" s="13">
        <f>IFERROR(__xludf.DUMMYFUNCTION("""COMPUTED_VALUE"""),44468.0)</f>
        <v>44468</v>
      </c>
      <c r="L488" s="14" t="str">
        <f>IFERROR(__xludf.DUMMYFUNCTION("""COMPUTED_VALUE"""),"https://masterplan.com/courses/female-leadership-4-gemeinsam-fuehren")</f>
        <v>https://masterplan.com/courses/female-leadership-4-gemeinsam-fuehren</v>
      </c>
    </row>
    <row r="489">
      <c r="A489" s="15" t="str">
        <f>IFERROR(__xludf.DUMMYFUNCTION("""COMPUTED_VALUE"""),"Female Leadership II: Karriere und Netzwerke")</f>
        <v>Female Leadership II: Karriere und Netzwerke</v>
      </c>
      <c r="B489" s="16" t="str">
        <f>IFERROR(__xludf.DUMMYFUNCTION("""COMPUTED_VALUE"""),"Female Leadership II: Careers and Networks")</f>
        <v>Female Leadership II: Careers and Networks</v>
      </c>
      <c r="C489" s="17" t="str">
        <f>IFERROR(__xludf.DUMMYFUNCTION("""COMPUTED_VALUE"""),"Seit 2007 haben Männer und Frauen das Recht auf Elternzeit. Kinderbetreuung und Haushalt wird dennoch überwiegend von Frauen übernommen. Wieso? Wie können berufstätige Frauen und Mütter unterstützt werden? Antworten auf dies und weiteres erhältst du in di"&amp;"esem Kurs!")</f>
        <v>Seit 2007 haben Männer und Frauen das Recht auf Elternzeit. Kinderbetreuung und Haushalt wird dennoch überwiegend von Frauen übernommen. Wieso? Wie können berufstätige Frauen und Mütter unterstützt werden? Antworten auf dies und weiteres erhältst du in diesem Kurs!</v>
      </c>
      <c r="D489" s="17" t="str">
        <f>IFERROR(__xludf.DUMMYFUNCTION("""COMPUTED_VALUE"""),"Since 2007, men and women in Germany have had the right to take parental leave. Yet childcare and household chores are still primarily done by women. Why? How can working women and mothers be supported? Answers to these and other questions are provided in"&amp;" this course!")</f>
        <v>Since 2007, men and women in Germany have had the right to take parental leave. Yet childcare and household chores are still primarily done by women. Why? How can working women and mothers be supported? Answers to these and other questions are provided in this course!</v>
      </c>
      <c r="E489" s="9" t="str">
        <f>IFERROR(__xludf.DUMMYFUNCTION("""COMPUTED_VALUE"""),"Global Citizenship")</f>
        <v>Global Citizenship</v>
      </c>
      <c r="F489" s="19" t="str">
        <f>IFERROR(__xludf.DUMMYFUNCTION("""COMPUTED_VALUE"""),"Zeit Akademie - Catriona McLaughlin, Prof. Dr. Bettina Wiese")</f>
        <v>Zeit Akademie - Catriona McLaughlin, Prof. Dr. Bettina Wiese</v>
      </c>
      <c r="G489" s="20">
        <f>IFERROR(__xludf.DUMMYFUNCTION("""COMPUTED_VALUE"""),50.0)</f>
        <v>50</v>
      </c>
      <c r="H489" s="20">
        <f>IFERROR(__xludf.DUMMYFUNCTION("""COMPUTED_VALUE"""),20.0)</f>
        <v>20</v>
      </c>
      <c r="I489" s="21" t="str">
        <f>IFERROR(__xludf.DUMMYFUNCTION("""COMPUTED_VALUE"""),"English, German")</f>
        <v>English, German</v>
      </c>
      <c r="J489" s="21" t="str">
        <f>IFERROR(__xludf.DUMMYFUNCTION("""COMPUTED_VALUE"""),"German")</f>
        <v>German</v>
      </c>
      <c r="K489" s="22">
        <f>IFERROR(__xludf.DUMMYFUNCTION("""COMPUTED_VALUE"""),44468.0)</f>
        <v>44468</v>
      </c>
      <c r="L489" s="23" t="str">
        <f>IFERROR(__xludf.DUMMYFUNCTION("""COMPUTED_VALUE"""),"https://masterplan.com/courses/female-leadership-2-karriere-und-netzwerke")</f>
        <v>https://masterplan.com/courses/female-leadership-2-karriere-und-netzwerke</v>
      </c>
    </row>
    <row r="490">
      <c r="A490" s="6" t="str">
        <f>IFERROR(__xludf.DUMMYFUNCTION("""COMPUTED_VALUE"""),"Female Leadership I: Vorteile und Potenziale")</f>
        <v>Female Leadership I: Vorteile und Potenziale</v>
      </c>
      <c r="B490" s="7" t="str">
        <f>IFERROR(__xludf.DUMMYFUNCTION("""COMPUTED_VALUE"""),"Female Leadership I: Advantages and Potential")</f>
        <v>Female Leadership I: Advantages and Potential</v>
      </c>
      <c r="C490" s="8" t="str">
        <f>IFERROR(__xludf.DUMMYFUNCTION("""COMPUTED_VALUE"""),"Deutschland ist im internationalen Vergleich das Schlusslicht hinsichtlich weiblicher Führungskräfte. Warum? Wie können wir das ändern und dadurch alle gewinnen? In diesem Kurs erhältst du Antworten auf diese und weitere Fragen rund um das Thema Female Le"&amp;"adership.")</f>
        <v>Deutschland ist im internationalen Vergleich das Schlusslicht hinsichtlich weiblicher Führungskräfte. Warum? Wie können wir das ändern und dadurch alle gewinnen? In diesem Kurs erhältst du Antworten auf diese und weitere Fragen rund um das Thema Female Leadership.</v>
      </c>
      <c r="D490" s="8" t="str">
        <f>IFERROR(__xludf.DUMMYFUNCTION("""COMPUTED_VALUE"""),"When compared internationally, Germany is at the bottom in terms of female executives. Why is that? How can we change this and help everyone succeed? In this course, you will find answers to these and other questions on the topic of female leadership.")</f>
        <v>When compared internationally, Germany is at the bottom in terms of female executives. Why is that? How can we change this and help everyone succeed? In this course, you will find answers to these and other questions on the topic of female leadership.</v>
      </c>
      <c r="E490" s="9" t="str">
        <f>IFERROR(__xludf.DUMMYFUNCTION("""COMPUTED_VALUE"""),"Global Citizenship")</f>
        <v>Global Citizenship</v>
      </c>
      <c r="F490" s="10" t="str">
        <f>IFERROR(__xludf.DUMMYFUNCTION("""COMPUTED_VALUE"""),"Zeit Akademie - Catriona McLaughlin, Prof.Dr. Bettina Wiese")</f>
        <v>Zeit Akademie - Catriona McLaughlin, Prof.Dr. Bettina Wiese</v>
      </c>
      <c r="G490" s="11">
        <f>IFERROR(__xludf.DUMMYFUNCTION("""COMPUTED_VALUE"""),46.0)</f>
        <v>46</v>
      </c>
      <c r="H490" s="11">
        <f>IFERROR(__xludf.DUMMYFUNCTION("""COMPUTED_VALUE"""),16.0)</f>
        <v>16</v>
      </c>
      <c r="I490" s="12" t="str">
        <f>IFERROR(__xludf.DUMMYFUNCTION("""COMPUTED_VALUE"""),"English, German")</f>
        <v>English, German</v>
      </c>
      <c r="J490" s="12" t="str">
        <f>IFERROR(__xludf.DUMMYFUNCTION("""COMPUTED_VALUE"""),"German")</f>
        <v>German</v>
      </c>
      <c r="K490" s="13">
        <f>IFERROR(__xludf.DUMMYFUNCTION("""COMPUTED_VALUE"""),44468.0)</f>
        <v>44468</v>
      </c>
      <c r="L490" s="14" t="str">
        <f>IFERROR(__xludf.DUMMYFUNCTION("""COMPUTED_VALUE"""),"https://masterplan.com/courses/female-leadership-1-vorteile-und-potenziale")</f>
        <v>https://masterplan.com/courses/female-leadership-1-vorteile-und-potenziale</v>
      </c>
    </row>
    <row r="491">
      <c r="A491" s="15" t="str">
        <f>IFERROR(__xludf.DUMMYFUNCTION("""COMPUTED_VALUE"""),"Unconscious Bias")</f>
        <v>Unconscious Bias</v>
      </c>
      <c r="B491" s="16" t="str">
        <f>IFERROR(__xludf.DUMMYFUNCTION("""COMPUTED_VALUE"""),"Unconscious Bias")</f>
        <v>Unconscious Bias</v>
      </c>
      <c r="C491" s="17" t="str">
        <f>IFERROR(__xludf.DUMMYFUNCTION("""COMPUTED_VALUE"""),"Unbewusste Denkmuster beeinflussen nahezu alle Entscheidungen unseres Lebens. Mit konkreten Beispielen und Alltagsübungen lernst du von Albert Kehrer wie dein Urteilsvermögen mit Bewusstheit schärfen kannst, zum Mehrwert für dich, dein Team, das Unternehm"&amp;"en.")</f>
        <v>Unbewusste Denkmuster beeinflussen nahezu alle Entscheidungen unseres Lebens. Mit konkreten Beispielen und Alltagsübungen lernst du von Albert Kehrer wie dein Urteilsvermögen mit Bewusstheit schärfen kannst, zum Mehrwert für dich, dein Team, das Unternehmen.</v>
      </c>
      <c r="D491" s="17" t="str">
        <f>IFERROR(__xludf.DUMMYFUNCTION("""COMPUTED_VALUE"""),"Unconscious thought patterns influence almost every decision in our lives. Using concrete examples and everyday exercises, Albert Kehrer teaches you how to sharpen your judgment with awareness – adding value to you, your team, and the overall company.")</f>
        <v>Unconscious thought patterns influence almost every decision in our lives. Using concrete examples and everyday exercises, Albert Kehrer teaches you how to sharpen your judgment with awareness – adding value to you, your team, and the overall company.</v>
      </c>
      <c r="E491" s="9" t="str">
        <f>IFERROR(__xludf.DUMMYFUNCTION("""COMPUTED_VALUE"""),"Global Citizenship")</f>
        <v>Global Citizenship</v>
      </c>
      <c r="F491" s="19" t="str">
        <f>IFERROR(__xludf.DUMMYFUNCTION("""COMPUTED_VALUE"""),"DZ Bank - Albert Kehrer")</f>
        <v>DZ Bank - Albert Kehrer</v>
      </c>
      <c r="G491" s="20">
        <f>IFERROR(__xludf.DUMMYFUNCTION("""COMPUTED_VALUE"""),60.0)</f>
        <v>60</v>
      </c>
      <c r="H491" s="20">
        <f>IFERROR(__xludf.DUMMYFUNCTION("""COMPUTED_VALUE"""),24.0)</f>
        <v>24</v>
      </c>
      <c r="I491" s="21" t="str">
        <f>IFERROR(__xludf.DUMMYFUNCTION("""COMPUTED_VALUE"""),"English, German")</f>
        <v>English, German</v>
      </c>
      <c r="J491" s="21" t="str">
        <f>IFERROR(__xludf.DUMMYFUNCTION("""COMPUTED_VALUE"""),"German")</f>
        <v>German</v>
      </c>
      <c r="K491" s="22">
        <f>IFERROR(__xludf.DUMMYFUNCTION("""COMPUTED_VALUE"""),44468.0)</f>
        <v>44468</v>
      </c>
      <c r="L491" s="23" t="str">
        <f>IFERROR(__xludf.DUMMYFUNCTION("""COMPUTED_VALUE"""),"https://masterplan.com/courses/unconscious-bias")</f>
        <v>https://masterplan.com/courses/unconscious-bias</v>
      </c>
    </row>
    <row r="492">
      <c r="A492" s="6" t="str">
        <f>IFERROR(__xludf.DUMMYFUNCTION("""COMPUTED_VALUE"""),"Female Leadership III: Erfolg durch Gleichstellung")</f>
        <v>Female Leadership III: Erfolg durch Gleichstellung</v>
      </c>
      <c r="B492" s="7" t="str">
        <f>IFERROR(__xludf.DUMMYFUNCTION("""COMPUTED_VALUE"""),"Female Leadership III: Success through Equality")</f>
        <v>Female Leadership III: Success through Equality</v>
      </c>
      <c r="C492" s="8" t="str">
        <f>IFERROR(__xludf.DUMMYFUNCTION("""COMPUTED_VALUE"""),"Wie du etwas sagst, kann viel über dich verraten und auch dein Unternehmen hat allein durch die Sprache Auswirkung darauf, wer sich bewirbt und wer nicht. Du lernst außerdem, wie sich mit Fakten belegen lässt, dass Unternehmen mit Frauen erfolgreicher sin"&amp;"d.")</f>
        <v>Wie du etwas sagst, kann viel über dich verraten und auch dein Unternehmen hat allein durch die Sprache Auswirkung darauf, wer sich bewirbt und wer nicht. Du lernst außerdem, wie sich mit Fakten belegen lässt, dass Unternehmen mit Frauen erfolgreicher sind.</v>
      </c>
      <c r="D492" s="8" t="str">
        <f>IFERROR(__xludf.DUMMYFUNCTION("""COMPUTED_VALUE"""),"How you say something can reveal a lot about you; your company's language alone can have an impact on who applies and who doesn't. In this course, you'll learn why companies with women are more successful and how to increase diversity in your own organiza"&amp;"tion.")</f>
        <v>How you say something can reveal a lot about you; your company's language alone can have an impact on who applies and who doesn't. In this course, you'll learn why companies with women are more successful and how to increase diversity in your own organization.</v>
      </c>
      <c r="E492" s="9" t="str">
        <f>IFERROR(__xludf.DUMMYFUNCTION("""COMPUTED_VALUE"""),"Global Citizenship")</f>
        <v>Global Citizenship</v>
      </c>
      <c r="F492" s="10" t="str">
        <f>IFERROR(__xludf.DUMMYFUNCTION("""COMPUTED_VALUE"""),"Zeit Akademie - Catriona McLaughlin, Simone Burel, Barbara Lutz, Accenture, Jutta Allmendinger")</f>
        <v>Zeit Akademie - Catriona McLaughlin, Simone Burel, Barbara Lutz, Accenture, Jutta Allmendinger</v>
      </c>
      <c r="G492" s="11">
        <f>IFERROR(__xludf.DUMMYFUNCTION("""COMPUTED_VALUE"""),65.0)</f>
        <v>65</v>
      </c>
      <c r="H492" s="11">
        <f>IFERROR(__xludf.DUMMYFUNCTION("""COMPUTED_VALUE"""),24.0)</f>
        <v>24</v>
      </c>
      <c r="I492" s="12" t="str">
        <f>IFERROR(__xludf.DUMMYFUNCTION("""COMPUTED_VALUE"""),"English, German")</f>
        <v>English, German</v>
      </c>
      <c r="J492" s="12" t="str">
        <f>IFERROR(__xludf.DUMMYFUNCTION("""COMPUTED_VALUE"""),"German")</f>
        <v>German</v>
      </c>
      <c r="K492" s="13">
        <f>IFERROR(__xludf.DUMMYFUNCTION("""COMPUTED_VALUE"""),44468.0)</f>
        <v>44468</v>
      </c>
      <c r="L492" s="14" t="str">
        <f>IFERROR(__xludf.DUMMYFUNCTION("""COMPUTED_VALUE"""),"https://masterplan.com/courses/female-leadership-3-erfolg-durch-gleichstellung")</f>
        <v>https://masterplan.com/courses/female-leadership-3-erfolg-durch-gleichstellung</v>
      </c>
    </row>
    <row r="493">
      <c r="A493" s="15" t="str">
        <f>IFERROR(__xludf.DUMMYFUNCTION("""COMPUTED_VALUE"""),"Vertriebspsychologie")</f>
        <v>Vertriebspsychologie</v>
      </c>
      <c r="B493" s="16" t="str">
        <f>IFERROR(__xludf.DUMMYFUNCTION("""COMPUTED_VALUE"""),"The Psychology of Selling")</f>
        <v>The Psychology of Selling</v>
      </c>
      <c r="C493" s="17" t="str">
        <f>IFERROR(__xludf.DUMMYFUNCTION("""COMPUTED_VALUE"""),"Wenn du die Psychologie hinter den Entscheidungsprozessen deiner potenziellen Kund:innen verstehst, dann kann Verkaufen sehr einfach sein. Erlerne in diesem Kurs Techniken und Strategien, um besser, schneller und effizienter Verkäufe abzuschließen.")</f>
        <v>Wenn du die Psychologie hinter den Entscheidungsprozessen deiner potenziellen Kund:innen verstehst, dann kann Verkaufen sehr einfach sein. Erlerne in diesem Kurs Techniken und Strategien, um besser, schneller und effizienter Verkäufe abzuschließen.</v>
      </c>
      <c r="D493" s="17" t="str">
        <f>IFERROR(__xludf.DUMMYFUNCTION("""COMPUTED_VALUE"""),"Understanding the psychology behind your customers' buying decisions makes selling much easier. In this course, you'll learn techniques and strategies based in psychology to make better, quicker, and more efficient sales.")</f>
        <v>Understanding the psychology behind your customers' buying decisions makes selling much easier. In this course, you'll learn techniques and strategies based in psychology to make better, quicker, and more efficient sales.</v>
      </c>
      <c r="E493" s="9" t="str">
        <f>IFERROR(__xludf.DUMMYFUNCTION("""COMPUTED_VALUE"""),"Global Citizenship")</f>
        <v>Global Citizenship</v>
      </c>
      <c r="F493" s="19" t="str">
        <f>IFERROR(__xludf.DUMMYFUNCTION("""COMPUTED_VALUE"""),"Morten Wolff")</f>
        <v>Morten Wolff</v>
      </c>
      <c r="G493" s="20">
        <f>IFERROR(__xludf.DUMMYFUNCTION("""COMPUTED_VALUE"""),28.0)</f>
        <v>28</v>
      </c>
      <c r="H493" s="20">
        <f>IFERROR(__xludf.DUMMYFUNCTION("""COMPUTED_VALUE"""),29.0)</f>
        <v>29</v>
      </c>
      <c r="I493" s="21" t="str">
        <f>IFERROR(__xludf.DUMMYFUNCTION("""COMPUTED_VALUE"""),"English, German")</f>
        <v>English, German</v>
      </c>
      <c r="J493" s="21" t="str">
        <f>IFERROR(__xludf.DUMMYFUNCTION("""COMPUTED_VALUE"""),"German")</f>
        <v>German</v>
      </c>
      <c r="K493" s="22">
        <f>IFERROR(__xludf.DUMMYFUNCTION("""COMPUTED_VALUE"""),44460.0)</f>
        <v>44460</v>
      </c>
      <c r="L493" s="23" t="str">
        <f>IFERROR(__xludf.DUMMYFUNCTION("""COMPUTED_VALUE"""),"https://masterplan.com/courses/vertriebspsychologie")</f>
        <v>https://masterplan.com/courses/vertriebspsychologie</v>
      </c>
    </row>
    <row r="494">
      <c r="A494" s="6" t="str">
        <f>IFERROR(__xludf.DUMMYFUNCTION("""COMPUTED_VALUE"""),"Zuversicht II: Wie man die innere Freiheit stärkt")</f>
        <v>Zuversicht II: Wie man die innere Freiheit stärkt</v>
      </c>
      <c r="B494" s="7" t="str">
        <f>IFERROR(__xludf.DUMMYFUNCTION("""COMPUTED_VALUE"""),"Confidence II: Strengthening Your Inner Freedom")</f>
        <v>Confidence II: Strengthening Your Inner Freedom</v>
      </c>
      <c r="C494" s="8" t="str">
        <f>IFERROR(__xludf.DUMMYFUNCTION("""COMPUTED_VALUE"""),"Herausforderungen sind Teil des Lebens. Doch wie sollen wir auf sie reagieren? In diesem Kurs erfährst du, mit welcher inneren Haltung du Schwierigkeiten bestmöglich bewältigen, dabei persönlich wachsen und dein wahres Potenzial aktivieren kannst.")</f>
        <v>Herausforderungen sind Teil des Lebens. Doch wie sollen wir auf sie reagieren? In diesem Kurs erfährst du, mit welcher inneren Haltung du Schwierigkeiten bestmöglich bewältigen, dabei persönlich wachsen und dein wahres Potenzial aktivieren kannst.</v>
      </c>
      <c r="D494" s="8" t="str">
        <f>IFERROR(__xludf.DUMMYFUNCTION("""COMPUTED_VALUE"""),"Challenges are part of life – but how should we address them? In this course, you'll learn about what sort of inner attitude best enables you to cope with difficulties, grow as a person, and activate your true potential.")</f>
        <v>Challenges are part of life – but how should we address them? In this course, you'll learn about what sort of inner attitude best enables you to cope with difficulties, grow as a person, and activate your true potential.</v>
      </c>
      <c r="E494" s="24" t="str">
        <f>IFERROR(__xludf.DUMMYFUNCTION("""COMPUTED_VALUE"""),"Emotional Intelligence")</f>
        <v>Emotional Intelligence</v>
      </c>
      <c r="F494" s="10" t="str">
        <f>IFERROR(__xludf.DUMMYFUNCTION("""COMPUTED_VALUE"""),"Zeit Akademie - Ulrich Schnabel")</f>
        <v>Zeit Akademie - Ulrich Schnabel</v>
      </c>
      <c r="G494" s="11">
        <f>IFERROR(__xludf.DUMMYFUNCTION("""COMPUTED_VALUE"""),28.0)</f>
        <v>28</v>
      </c>
      <c r="H494" s="11">
        <f>IFERROR(__xludf.DUMMYFUNCTION("""COMPUTED_VALUE"""),18.0)</f>
        <v>18</v>
      </c>
      <c r="I494" s="12" t="str">
        <f>IFERROR(__xludf.DUMMYFUNCTION("""COMPUTED_VALUE"""),"English, German")</f>
        <v>English, German</v>
      </c>
      <c r="J494" s="12" t="str">
        <f>IFERROR(__xludf.DUMMYFUNCTION("""COMPUTED_VALUE"""),"English")</f>
        <v>English</v>
      </c>
      <c r="K494" s="13">
        <f>IFERROR(__xludf.DUMMYFUNCTION("""COMPUTED_VALUE"""),44455.0)</f>
        <v>44455</v>
      </c>
      <c r="L494" s="14" t="str">
        <f>IFERROR(__xludf.DUMMYFUNCTION("""COMPUTED_VALUE"""),"https://masterplan.com/courses/zuversicht-2-wie-man-die-innere-freiheit-staerkt")</f>
        <v>https://masterplan.com/courses/zuversicht-2-wie-man-die-innere-freiheit-staerkt</v>
      </c>
    </row>
    <row r="495">
      <c r="A495" s="15" t="str">
        <f>IFERROR(__xludf.DUMMYFUNCTION("""COMPUTED_VALUE"""),"Zuversicht IV: Das ""Warum"" des Lebens")</f>
        <v>Zuversicht IV: Das "Warum" des Lebens</v>
      </c>
      <c r="B495" s="16" t="str">
        <f>IFERROR(__xludf.DUMMYFUNCTION("""COMPUTED_VALUE"""),"Confidence IV: The ""Why"" of Life")</f>
        <v>Confidence IV: The "Why" of Life</v>
      </c>
      <c r="C495" s="17" t="str">
        <f>IFERROR(__xludf.DUMMYFUNCTION("""COMPUTED_VALUE"""),"Was macht unser Leben wertvoll und sinnerfüllt? Und wieso ist das so wichtig, gerade in Krisenzeiten? Ulrich nimmt dich mit auf die Suche nach dem Warum des Lebens und teilt mit dir wissenschaftliche Fakten, persönliche und humorvolle Beispiele sowie wert"&amp;"volle Tipps.")</f>
        <v>Was macht unser Leben wertvoll und sinnerfüllt? Und wieso ist das so wichtig, gerade in Krisenzeiten? Ulrich nimmt dich mit auf die Suche nach dem Warum des Lebens und teilt mit dir wissenschaftliche Fakten, persönliche und humorvolle Beispiele sowie wertvolle Tipps.</v>
      </c>
      <c r="D495" s="17" t="str">
        <f>IFERROR(__xludf.DUMMYFUNCTION("""COMPUTED_VALUE"""),"What makes our lives valuable and meaningful? And why is that so important, especially in times of crisis? Ulrich will help you find the purpose of life and will share scientific facts, personal and humorous examples as well as valuable tips.")</f>
        <v>What makes our lives valuable and meaningful? And why is that so important, especially in times of crisis? Ulrich will help you find the purpose of life and will share scientific facts, personal and humorous examples as well as valuable tips.</v>
      </c>
      <c r="E495" s="24" t="str">
        <f>IFERROR(__xludf.DUMMYFUNCTION("""COMPUTED_VALUE"""),"Emotional Intelligence")</f>
        <v>Emotional Intelligence</v>
      </c>
      <c r="F495" s="19" t="str">
        <f>IFERROR(__xludf.DUMMYFUNCTION("""COMPUTED_VALUE"""),"Zeit Akademie - Ulrich Schnabel")</f>
        <v>Zeit Akademie - Ulrich Schnabel</v>
      </c>
      <c r="G495" s="20">
        <f>IFERROR(__xludf.DUMMYFUNCTION("""COMPUTED_VALUE"""),22.0)</f>
        <v>22</v>
      </c>
      <c r="H495" s="20">
        <f>IFERROR(__xludf.DUMMYFUNCTION("""COMPUTED_VALUE"""),15.0)</f>
        <v>15</v>
      </c>
      <c r="I495" s="21" t="str">
        <f>IFERROR(__xludf.DUMMYFUNCTION("""COMPUTED_VALUE"""),"English, German")</f>
        <v>English, German</v>
      </c>
      <c r="J495" s="21" t="str">
        <f>IFERROR(__xludf.DUMMYFUNCTION("""COMPUTED_VALUE"""),"English")</f>
        <v>English</v>
      </c>
      <c r="K495" s="22">
        <f>IFERROR(__xludf.DUMMYFUNCTION("""COMPUTED_VALUE"""),44455.0)</f>
        <v>44455</v>
      </c>
      <c r="L495" s="23" t="str">
        <f>IFERROR(__xludf.DUMMYFUNCTION("""COMPUTED_VALUE"""),"https://masterplan.com/courses/zuversicht-4-das-warum-des-lebens")</f>
        <v>https://masterplan.com/courses/zuversicht-4-das-warum-des-lebens</v>
      </c>
    </row>
    <row r="496">
      <c r="A496" s="6" t="str">
        <f>IFERROR(__xludf.DUMMYFUNCTION("""COMPUTED_VALUE"""),"Zuversicht III: Zukunftshoffnung stärken")</f>
        <v>Zuversicht III: Zukunftshoffnung stärken</v>
      </c>
      <c r="B496" s="7" t="str">
        <f>IFERROR(__xludf.DUMMYFUNCTION("""COMPUTED_VALUE"""),"Confidence III: Strengthening Hope for the Future")</f>
        <v>Confidence III: Strengthening Hope for the Future</v>
      </c>
      <c r="C496" s="8" t="str">
        <f>IFERROR(__xludf.DUMMYFUNCTION("""COMPUTED_VALUE"""),"Was hat deine körperliche Haltung mit deiner Stimmung und Zuversicht zu tun? Was ist das Prinzip der Resonanz? Wie kannst du davon profitieren? Und was können wir von jungen Menschen hinsichtlich Zuversicht lernen? All das und noch mehr erfährst du in die"&amp;"sem Kurs!")</f>
        <v>Was hat deine körperliche Haltung mit deiner Stimmung und Zuversicht zu tun? Was ist das Prinzip der Resonanz? Wie kannst du davon profitieren? Und was können wir von jungen Menschen hinsichtlich Zuversicht lernen? All das und noch mehr erfährst du in diesem Kurs!</v>
      </c>
      <c r="D496" s="8" t="str">
        <f>IFERROR(__xludf.DUMMYFUNCTION("""COMPUTED_VALUE"""),"What does your physical posture have to do with your mood and confidence? What is the principle of resonance? How can you benefit from it? And what can we learn from young people about confidence? All this and more awaits you in this course!")</f>
        <v>What does your physical posture have to do with your mood and confidence? What is the principle of resonance? How can you benefit from it? And what can we learn from young people about confidence? All this and more awaits you in this course!</v>
      </c>
      <c r="E496" s="24" t="str">
        <f>IFERROR(__xludf.DUMMYFUNCTION("""COMPUTED_VALUE"""),"Emotional Intelligence")</f>
        <v>Emotional Intelligence</v>
      </c>
      <c r="F496" s="10" t="str">
        <f>IFERROR(__xludf.DUMMYFUNCTION("""COMPUTED_VALUE"""),"Zeit Akademie - Ulrich Schnabel")</f>
        <v>Zeit Akademie - Ulrich Schnabel</v>
      </c>
      <c r="G496" s="11">
        <f>IFERROR(__xludf.DUMMYFUNCTION("""COMPUTED_VALUE"""),25.0)</f>
        <v>25</v>
      </c>
      <c r="H496" s="11">
        <f>IFERROR(__xludf.DUMMYFUNCTION("""COMPUTED_VALUE"""),16.0)</f>
        <v>16</v>
      </c>
      <c r="I496" s="12" t="str">
        <f>IFERROR(__xludf.DUMMYFUNCTION("""COMPUTED_VALUE"""),"English, German")</f>
        <v>English, German</v>
      </c>
      <c r="J496" s="12" t="str">
        <f>IFERROR(__xludf.DUMMYFUNCTION("""COMPUTED_VALUE"""),"English")</f>
        <v>English</v>
      </c>
      <c r="K496" s="13">
        <f>IFERROR(__xludf.DUMMYFUNCTION("""COMPUTED_VALUE"""),44455.0)</f>
        <v>44455</v>
      </c>
      <c r="L496" s="14" t="str">
        <f>IFERROR(__xludf.DUMMYFUNCTION("""COMPUTED_VALUE"""),"https://masterplan.com/courses/zuversicht-3-zukunftshoffnung-staerken")</f>
        <v>https://masterplan.com/courses/zuversicht-3-zukunftshoffnung-staerken</v>
      </c>
    </row>
    <row r="497">
      <c r="A497" s="15" t="str">
        <f>IFERROR(__xludf.DUMMYFUNCTION("""COMPUTED_VALUE"""),"Zuversicht I: Von der Angst zur Gestaltungskraft")</f>
        <v>Zuversicht I: Von der Angst zur Gestaltungskraft</v>
      </c>
      <c r="B497" s="16" t="str">
        <f>IFERROR(__xludf.DUMMYFUNCTION("""COMPUTED_VALUE"""),"Confidence I: From Fear to Creative Power")</f>
        <v>Confidence I: From Fear to Creative Power</v>
      </c>
      <c r="C497" s="17" t="str">
        <f>IFERROR(__xludf.DUMMYFUNCTION("""COMPUTED_VALUE"""),"Was ist Zuversicht und wieso ist diese wichtig? Wieso reagieren wir oft wie unsere Vorfahren in der Steinzeit? Welche Folgen hat dies für die Gesellschaft und die Medien? All das und noch mehr erklärt dir Ulrich auf einer Reise von der Steinzeit bis in di"&amp;"e Zukunft.")</f>
        <v>Was ist Zuversicht und wieso ist diese wichtig? Wieso reagieren wir oft wie unsere Vorfahren in der Steinzeit? Welche Folgen hat dies für die Gesellschaft und die Medien? All das und noch mehr erklärt dir Ulrich auf einer Reise von der Steinzeit bis in die Zukunft.</v>
      </c>
      <c r="D497" s="17" t="str">
        <f>IFERROR(__xludf.DUMMYFUNCTION("""COMPUTED_VALUE"""),"What exactly is confidence and why is it important? Why do we often behave like our ancestors in the Stone Age? What consequences does this have on society and the media? Ulrich explains all this and more on a journey from the Stone Age to the future.")</f>
        <v>What exactly is confidence and why is it important? Why do we often behave like our ancestors in the Stone Age? What consequences does this have on society and the media? Ulrich explains all this and more on a journey from the Stone Age to the future.</v>
      </c>
      <c r="E497" s="24" t="str">
        <f>IFERROR(__xludf.DUMMYFUNCTION("""COMPUTED_VALUE"""),"Emotional Intelligence")</f>
        <v>Emotional Intelligence</v>
      </c>
      <c r="F497" s="19" t="str">
        <f>IFERROR(__xludf.DUMMYFUNCTION("""COMPUTED_VALUE"""),"Zeit Akademie - Ulrich Schnabel")</f>
        <v>Zeit Akademie - Ulrich Schnabel</v>
      </c>
      <c r="G497" s="20">
        <f>IFERROR(__xludf.DUMMYFUNCTION("""COMPUTED_VALUE"""),28.0)</f>
        <v>28</v>
      </c>
      <c r="H497" s="20">
        <f>IFERROR(__xludf.DUMMYFUNCTION("""COMPUTED_VALUE"""),18.0)</f>
        <v>18</v>
      </c>
      <c r="I497" s="21" t="str">
        <f>IFERROR(__xludf.DUMMYFUNCTION("""COMPUTED_VALUE"""),"English, German")</f>
        <v>English, German</v>
      </c>
      <c r="J497" s="21" t="str">
        <f>IFERROR(__xludf.DUMMYFUNCTION("""COMPUTED_VALUE"""),"English")</f>
        <v>English</v>
      </c>
      <c r="K497" s="22">
        <f>IFERROR(__xludf.DUMMYFUNCTION("""COMPUTED_VALUE"""),44454.0)</f>
        <v>44454</v>
      </c>
      <c r="L497" s="23" t="str">
        <f>IFERROR(__xludf.DUMMYFUNCTION("""COMPUTED_VALUE"""),"https://masterplan.com/courses/zuversicht-1-von-der-angst-zur-gestaltungskraft")</f>
        <v>https://masterplan.com/courses/zuversicht-1-von-der-angst-zur-gestaltungskraft</v>
      </c>
    </row>
    <row r="498">
      <c r="A498" s="6" t="str">
        <f>IFERROR(__xludf.DUMMYFUNCTION("""COMPUTED_VALUE"""),"Ohne Kontext ist Technologie unmöglich")</f>
        <v>Ohne Kontext ist Technologie unmöglich</v>
      </c>
      <c r="B498" s="7" t="str">
        <f>IFERROR(__xludf.DUMMYFUNCTION("""COMPUTED_VALUE"""),"To Design Better Tech, Understand Context")</f>
        <v>To Design Better Tech, Understand Context</v>
      </c>
      <c r="C498" s="8" t="str">
        <f>IFERROR(__xludf.DUMMYFUNCTION("""COMPUTED_VALUE"""),"Was nützt Menschen in Afrika eine medizinische Ausrüstung, die dem Klima nicht gewachsen ist? Douglas zeigt, wie wir bei der Entwicklung von Technologien oft blind für die tatsächlichen Bedürfnisse sind und wie ein tieferes Kontextverständnis zu besseren "&amp;"Lösungen führt.")</f>
        <v>Was nützt Menschen in Afrika eine medizinische Ausrüstung, die dem Klima nicht gewachsen ist? Douglas zeigt, wie wir bei der Entwicklung von Technologien oft blind für die tatsächlichen Bedürfnisse sind und wie ein tieferes Kontextverständnis zu besseren Lösungen führt.</v>
      </c>
      <c r="D498" s="8" t="str">
        <f>IFERROR(__xludf.DUMMYFUNCTION("""COMPUTED_VALUE"""),"What good is medical equipment to people in Africa if it can't handle the climate there? Tania Douglas illustrates how we're often blinded to real needs when pursuing technology – and how a deeper understanding of the context where it's used leads to bett"&amp;"er solutions.")</f>
        <v>What good is medical equipment to people in Africa if it can't handle the climate there? Tania Douglas illustrates how we're often blinded to real needs when pursuing technology – and how a deeper understanding of the context where it's used leads to better solutions.</v>
      </c>
      <c r="E498" s="25" t="str">
        <f>IFERROR(__xludf.DUMMYFUNCTION("""COMPUTED_VALUE"""),"Digital Literacy")</f>
        <v>Digital Literacy</v>
      </c>
      <c r="F498" s="10" t="str">
        <f>IFERROR(__xludf.DUMMYFUNCTION("""COMPUTED_VALUE"""),"TED - Tania Douglas")</f>
        <v>TED - Tania Douglas</v>
      </c>
      <c r="G498" s="11">
        <f>IFERROR(__xludf.DUMMYFUNCTION("""COMPUTED_VALUE"""),10.0)</f>
        <v>10</v>
      </c>
      <c r="H498" s="11">
        <f>IFERROR(__xludf.DUMMYFUNCTION("""COMPUTED_VALUE"""),4.0)</f>
        <v>4</v>
      </c>
      <c r="I498" s="12" t="str">
        <f>IFERROR(__xludf.DUMMYFUNCTION("""COMPUTED_VALUE"""),"English, German")</f>
        <v>English, German</v>
      </c>
      <c r="J498" s="12" t="str">
        <f>IFERROR(__xludf.DUMMYFUNCTION("""COMPUTED_VALUE"""),"English")</f>
        <v>English</v>
      </c>
      <c r="K498" s="13">
        <f>IFERROR(__xludf.DUMMYFUNCTION("""COMPUTED_VALUE"""),44449.0)</f>
        <v>44449</v>
      </c>
      <c r="L498" s="14" t="str">
        <f>IFERROR(__xludf.DUMMYFUNCTION("""COMPUTED_VALUE"""),"https://masterplan.com/courses/ohne-kontext-ist-technologie-unmoeglich")</f>
        <v>https://masterplan.com/courses/ohne-kontext-ist-technologie-unmoeglich</v>
      </c>
    </row>
    <row r="499">
      <c r="A499" s="15" t="str">
        <f>IFERROR(__xludf.DUMMYFUNCTION("""COMPUTED_VALUE"""),"Der Karriere-Tipp den Sie wahrscheinlich nie bekamen")</f>
        <v>Der Karriere-Tipp den Sie wahrscheinlich nie bekamen</v>
      </c>
      <c r="B499" s="16" t="str">
        <f>IFERROR(__xludf.DUMMYFUNCTION("""COMPUTED_VALUE"""),"The Career Advice You Probably Didn't Get")</f>
        <v>The Career Advice You Probably Didn't Get</v>
      </c>
      <c r="C499" s="17" t="str">
        <f>IFERROR(__xludf.DUMMYFUNCTION("""COMPUTED_VALUE"""),"Bei der Arbeit machst du alles richtig. Du nimmst Feedback mit an Bord, aber trotzdem wirst du nicht befördert? Wieso? Susan Colantuono hat einen Tipp für dich, der dich überraschen wird. Dieser Talk ist zwar an Frauen gerichtet, doch gibt es für alle etw"&amp;"as zu lernen.")</f>
        <v>Bei der Arbeit machst du alles richtig. Du nimmst Feedback mit an Bord, aber trotzdem wirst du nicht befördert? Wieso? Susan Colantuono hat einen Tipp für dich, der dich überraschen wird. Dieser Talk ist zwar an Frauen gerichtet, doch gibt es für alle etwas zu lernen.</v>
      </c>
      <c r="D499" s="17" t="str">
        <f>IFERROR(__xludf.DUMMYFUNCTION("""COMPUTED_VALUE"""),"You're doing everything right at work, taking all the right advice, but you're just not moving up. Why? Susan Colantuono shares a surprising piece of advice you might not have heard before quite so plainly. While aimed at women, this talk has universal ta"&amp;"keaways.")</f>
        <v>You're doing everything right at work, taking all the right advice, but you're just not moving up. Why? Susan Colantuono shares a surprising piece of advice you might not have heard before quite so plainly. While aimed at women, this talk has universal takeaways.</v>
      </c>
      <c r="E499" s="9" t="str">
        <f>IFERROR(__xludf.DUMMYFUNCTION("""COMPUTED_VALUE"""),"Global Citizenship")</f>
        <v>Global Citizenship</v>
      </c>
      <c r="F499" s="19" t="str">
        <f>IFERROR(__xludf.DUMMYFUNCTION("""COMPUTED_VALUE"""),"TED - Susan Colantuono")</f>
        <v>TED - Susan Colantuono</v>
      </c>
      <c r="G499" s="20">
        <f>IFERROR(__xludf.DUMMYFUNCTION("""COMPUTED_VALUE"""),16.0)</f>
        <v>16</v>
      </c>
      <c r="H499" s="20">
        <f>IFERROR(__xludf.DUMMYFUNCTION("""COMPUTED_VALUE"""),4.0)</f>
        <v>4</v>
      </c>
      <c r="I499" s="21" t="str">
        <f>IFERROR(__xludf.DUMMYFUNCTION("""COMPUTED_VALUE"""),"English, German")</f>
        <v>English, German</v>
      </c>
      <c r="J499" s="21" t="str">
        <f>IFERROR(__xludf.DUMMYFUNCTION("""COMPUTED_VALUE"""),"English")</f>
        <v>English</v>
      </c>
      <c r="K499" s="22">
        <f>IFERROR(__xludf.DUMMYFUNCTION("""COMPUTED_VALUE"""),44445.0)</f>
        <v>44445</v>
      </c>
      <c r="L499" s="23" t="str">
        <f>IFERROR(__xludf.DUMMYFUNCTION("""COMPUTED_VALUE"""),"https://masterplan.com/courses/der-karriere-tipp-den-sie-wahrscheinlich-nie-bekamen")</f>
        <v>https://masterplan.com/courses/der-karriere-tipp-den-sie-wahrscheinlich-nie-bekamen</v>
      </c>
    </row>
    <row r="500">
      <c r="A500" s="6" t="str">
        <f>IFERROR(__xludf.DUMMYFUNCTION("""COMPUTED_VALUE"""),"Wie man sich in einer schnellen Welt neu erfindet")</f>
        <v>Wie man sich in einer schnellen Welt neu erfindet</v>
      </c>
      <c r="B500" s="7" t="str">
        <f>IFERROR(__xludf.DUMMYFUNCTION("""COMPUTED_VALUE"""),"Successful Transformation in a Fast-Changing World")</f>
        <v>Successful Transformation in a Fast-Changing World</v>
      </c>
      <c r="C500" s="8" t="str">
        <f>IFERROR(__xludf.DUMMYFUNCTION("""COMPUTED_VALUE"""),"In einer technologischen Welt hat die Veränderungsrate exponentiell zugenommen, während unsere Lernrate gleich geblieben ist. In diesem Kurs erfährst du, wie sich Führung anpassen, lernen und transformieren kann, um nicht nur Probleme von heute, sondern a"&amp;"uch die von morgen zu lösen.")</f>
        <v>In einer technologischen Welt hat die Veränderungsrate exponentiell zugenommen, während unsere Lernrate gleich geblieben ist. In diesem Kurs erfährst du, wie sich Führung anpassen, lernen und transformieren kann, um nicht nur Probleme von heute, sondern auch die von morgen zu lösen.</v>
      </c>
      <c r="D500" s="8" t="str">
        <f>IFERROR(__xludf.DUMMYFUNCTION("""COMPUTED_VALUE"""),"In a technological world, the rate of change has increased exponentially, while our rate of learning has remained the same. In this lesson, learn how leadership can adapt, learn, and transform in order to solve not only today's problems, but tomorrow's pr"&amp;"oblems.")</f>
        <v>In a technological world, the rate of change has increased exponentially, while our rate of learning has remained the same. In this lesson, learn how leadership can adapt, learn, and transform in order to solve not only today's problems, but tomorrow's problems.</v>
      </c>
      <c r="E500" s="26" t="str">
        <f>IFERROR(__xludf.DUMMYFUNCTION("""COMPUTED_VALUE"""),"Collaboration and Leadership")</f>
        <v>Collaboration and Leadership</v>
      </c>
      <c r="F500" s="10" t="str">
        <f>IFERROR(__xludf.DUMMYFUNCTION("""COMPUTED_VALUE"""),"TED - Eddie Obeng &amp; Jim Hemerling")</f>
        <v>TED - Eddie Obeng &amp; Jim Hemerling</v>
      </c>
      <c r="G500" s="11">
        <f>IFERROR(__xludf.DUMMYFUNCTION("""COMPUTED_VALUE"""),28.0)</f>
        <v>28</v>
      </c>
      <c r="H500" s="11">
        <f>IFERROR(__xludf.DUMMYFUNCTION("""COMPUTED_VALUE"""),8.0)</f>
        <v>8</v>
      </c>
      <c r="I500" s="12" t="str">
        <f>IFERROR(__xludf.DUMMYFUNCTION("""COMPUTED_VALUE"""),"English, German")</f>
        <v>English, German</v>
      </c>
      <c r="J500" s="12" t="str">
        <f>IFERROR(__xludf.DUMMYFUNCTION("""COMPUTED_VALUE"""),"English")</f>
        <v>English</v>
      </c>
      <c r="K500" s="13">
        <f>IFERROR(__xludf.DUMMYFUNCTION("""COMPUTED_VALUE"""),44445.0)</f>
        <v>44445</v>
      </c>
      <c r="L500" s="14" t="str">
        <f>IFERROR(__xludf.DUMMYFUNCTION("""COMPUTED_VALUE"""),"https://masterplan.com/courses/wie-man-sich-in-einer-schnellen-welt-neu-erfindet")</f>
        <v>https://masterplan.com/courses/wie-man-sich-in-einer-schnellen-welt-neu-erfindet</v>
      </c>
    </row>
    <row r="501">
      <c r="A501" s="15" t="str">
        <f>IFERROR(__xludf.DUMMYFUNCTION("""COMPUTED_VALUE"""),"So reden, dass andere einem zuhören wollen")</f>
        <v>So reden, dass andere einem zuhören wollen</v>
      </c>
      <c r="B501" s="16" t="str">
        <f>IFERROR(__xludf.DUMMYFUNCTION("""COMPUTED_VALUE"""),"How to Speak So That People Will Listen")</f>
        <v>How to Speak So That People Will Listen</v>
      </c>
      <c r="C501" s="17" t="str">
        <f>IFERROR(__xludf.DUMMYFUNCTION("""COMPUTED_VALUE"""),"Hattest du schon mal das Gefühl, dass dir keiner zuhört, wenn du redest? Klangexperte Julian Treasure ist schon zur Stelle. Er zeigt, was zum effektiven Reden dazugehört - von hilfreichen Stimmübungen bis hin zum empathischen Sprechen.")</f>
        <v>Hattest du schon mal das Gefühl, dass dir keiner zuhört, wenn du redest? Klangexperte Julian Treasure ist schon zur Stelle. Er zeigt, was zum effektiven Reden dazugehört - von hilfreichen Stimmübungen bis hin zum empathischen Sprechen.</v>
      </c>
      <c r="D501" s="17" t="str">
        <f>IFERROR(__xludf.DUMMYFUNCTION("""COMPUTED_VALUE"""),"Ever felt like no one's listening when you talk? Well, sound expert Julian Treasure's here to help. He demonstrates the how-to's of powerful speaking – from handy vocal exercises to tips on speaking with empathy.")</f>
        <v>Ever felt like no one's listening when you talk? Well, sound expert Julian Treasure's here to help. He demonstrates the how-to's of powerful speaking – from handy vocal exercises to tips on speaking with empathy.</v>
      </c>
      <c r="E501" s="28" t="str">
        <f>IFERROR(__xludf.DUMMYFUNCTION("""COMPUTED_VALUE"""),"Communication")</f>
        <v>Communication</v>
      </c>
      <c r="F501" s="19" t="str">
        <f>IFERROR(__xludf.DUMMYFUNCTION("""COMPUTED_VALUE"""),"TED - Julian Treasure")</f>
        <v>TED - Julian Treasure</v>
      </c>
      <c r="G501" s="20">
        <f>IFERROR(__xludf.DUMMYFUNCTION("""COMPUTED_VALUE"""),12.0)</f>
        <v>12</v>
      </c>
      <c r="H501" s="20">
        <f>IFERROR(__xludf.DUMMYFUNCTION("""COMPUTED_VALUE"""),4.0)</f>
        <v>4</v>
      </c>
      <c r="I501" s="21" t="str">
        <f>IFERROR(__xludf.DUMMYFUNCTION("""COMPUTED_VALUE"""),"English, German")</f>
        <v>English, German</v>
      </c>
      <c r="J501" s="21" t="str">
        <f>IFERROR(__xludf.DUMMYFUNCTION("""COMPUTED_VALUE"""),"English")</f>
        <v>English</v>
      </c>
      <c r="K501" s="22">
        <f>IFERROR(__xludf.DUMMYFUNCTION("""COMPUTED_VALUE"""),44442.0)</f>
        <v>44442</v>
      </c>
      <c r="L501" s="23" t="str">
        <f>IFERROR(__xludf.DUMMYFUNCTION("""COMPUTED_VALUE"""),"https://masterplan.com/courses/so-reden-dass-andere-einem-zuhoren-wollen")</f>
        <v>https://masterplan.com/courses/so-reden-dass-andere-einem-zuhoren-wollen</v>
      </c>
    </row>
    <row r="502">
      <c r="A502" s="6" t="str">
        <f>IFERROR(__xludf.DUMMYFUNCTION("""COMPUTED_VALUE"""),"Gewohnheiten schaffen in nur 1 Minute")</f>
        <v>Gewohnheiten schaffen in nur 1 Minute</v>
      </c>
      <c r="B502" s="7" t="str">
        <f>IFERROR(__xludf.DUMMYFUNCTION("""COMPUTED_VALUE"""),"The 1-Minute Secret to Habit-Forming")</f>
        <v>The 1-Minute Secret to Habit-Forming</v>
      </c>
      <c r="C502" s="8" t="str">
        <f>IFERROR(__xludf.DUMMYFUNCTION("""COMPUTED_VALUE"""),"Wir alle kennen es - wir setzen uns ambitionierte Ziele und dann... verlieren wir Motivation und fühlen uns schlecht, weil wir aufgegeben. Können wir daran etwas ändern? Soziologin Christine Carter zeigt, wie man durch eine Änderung des Mindsets jedes Zie"&amp;"l erreicht.")</f>
        <v>Wir alle kennen es - wir setzen uns ambitionierte Ziele und dann... verlieren wir Motivation und fühlen uns schlecht, weil wir aufgegeben. Können wir daran etwas ändern? Soziologin Christine Carter zeigt, wie man durch eine Änderung des Mindsets jedes Ziel erreicht.</v>
      </c>
      <c r="D502" s="8" t="str">
        <f>IFERROR(__xludf.DUMMYFUNCTION("""COMPUTED_VALUE"""),"We know how resolutions go – we set ourselves ambitious goals and then... motivation drops and we feel bad about giving up. But what if we could change that? Sociologist Christine Carter shares how a slight shift in mindset can keep you on track to reach "&amp;"any goal.")</f>
        <v>We know how resolutions go – we set ourselves ambitious goals and then... motivation drops and we feel bad about giving up. But what if we could change that? Sociologist Christine Carter shares how a slight shift in mindset can keep you on track to reach any goal.</v>
      </c>
      <c r="E502" s="24" t="str">
        <f>IFERROR(__xludf.DUMMYFUNCTION("""COMPUTED_VALUE"""),"Emotional Intelligence")</f>
        <v>Emotional Intelligence</v>
      </c>
      <c r="F502" s="10" t="str">
        <f>IFERROR(__xludf.DUMMYFUNCTION("""COMPUTED_VALUE"""),"TED - Christine Carter")</f>
        <v>TED - Christine Carter</v>
      </c>
      <c r="G502" s="11">
        <f>IFERROR(__xludf.DUMMYFUNCTION("""COMPUTED_VALUE"""),12.0)</f>
        <v>12</v>
      </c>
      <c r="H502" s="11">
        <f>IFERROR(__xludf.DUMMYFUNCTION("""COMPUTED_VALUE"""),4.0)</f>
        <v>4</v>
      </c>
      <c r="I502" s="12" t="str">
        <f>IFERROR(__xludf.DUMMYFUNCTION("""COMPUTED_VALUE"""),"English, German")</f>
        <v>English, German</v>
      </c>
      <c r="J502" s="12" t="str">
        <f>IFERROR(__xludf.DUMMYFUNCTION("""COMPUTED_VALUE"""),"English")</f>
        <v>English</v>
      </c>
      <c r="K502" s="13">
        <f>IFERROR(__xludf.DUMMYFUNCTION("""COMPUTED_VALUE"""),44442.0)</f>
        <v>44442</v>
      </c>
      <c r="L502" s="14" t="str">
        <f>IFERROR(__xludf.DUMMYFUNCTION("""COMPUTED_VALUE"""),"https://masterplan.com/courses/gewohnheiten-schaffen-in-nur-1-minute")</f>
        <v>https://masterplan.com/courses/gewohnheiten-schaffen-in-nur-1-minute</v>
      </c>
    </row>
    <row r="503">
      <c r="A503" s="15" t="str">
        <f>IFERROR(__xludf.DUMMYFUNCTION("""COMPUTED_VALUE"""),"Was eine Führungspersönlichkeit ausmacht")</f>
        <v>Was eine Führungspersönlichkeit ausmacht</v>
      </c>
      <c r="B503" s="16" t="str">
        <f>IFERROR(__xludf.DUMMYFUNCTION("""COMPUTED_VALUE"""),"What It Takes to Be a Great Leader")</f>
        <v>What It Takes to Be a Great Leader</v>
      </c>
      <c r="C503" s="17" t="str">
        <f>IFERROR(__xludf.DUMMYFUNCTION("""COMPUTED_VALUE"""),"Was zeichnet gute Führungskräfte aus? In diesem Talk beschreibt Rosalinde Torres ihre Erfahrung aus 25-jähriger Forschung zu Führungskräften und teilt drei einfache, aber wichtige Fragen, die zukünftige Chef:innen beantworten müssen, um Erfolg zu haben.")</f>
        <v>Was zeichnet gute Führungskräfte aus? In diesem Talk beschreibt Rosalinde Torres ihre Erfahrung aus 25-jähriger Forschung zu Führungskräften und teilt drei einfache, aber wichtige Fragen, die zukünftige Chef:innen beantworten müssen, um Erfolg zu haben.</v>
      </c>
      <c r="D503" s="17" t="str">
        <f>IFERROR(__xludf.DUMMYFUNCTION("""COMPUTED_VALUE"""),"What makes a great leader today? In this candid talk, Roselinde Torres describes 25 years of observing truly great leaders at work and shares the three simple but crucial questions would-be company chiefs need to ask to thrive in the future.")</f>
        <v>What makes a great leader today? In this candid talk, Roselinde Torres describes 25 years of observing truly great leaders at work and shares the three simple but crucial questions would-be company chiefs need to ask to thrive in the future.</v>
      </c>
      <c r="E503" s="26" t="str">
        <f>IFERROR(__xludf.DUMMYFUNCTION("""COMPUTED_VALUE"""),"Collaboration and Leadership")</f>
        <v>Collaboration and Leadership</v>
      </c>
      <c r="F503" s="19" t="str">
        <f>IFERROR(__xludf.DUMMYFUNCTION("""COMPUTED_VALUE"""),"TED - Roselinde Torres")</f>
        <v>TED - Roselinde Torres</v>
      </c>
      <c r="G503" s="20">
        <f>IFERROR(__xludf.DUMMYFUNCTION("""COMPUTED_VALUE"""),11.0)</f>
        <v>11</v>
      </c>
      <c r="H503" s="20">
        <f>IFERROR(__xludf.DUMMYFUNCTION("""COMPUTED_VALUE"""),4.0)</f>
        <v>4</v>
      </c>
      <c r="I503" s="21" t="str">
        <f>IFERROR(__xludf.DUMMYFUNCTION("""COMPUTED_VALUE"""),"English, German")</f>
        <v>English, German</v>
      </c>
      <c r="J503" s="21" t="str">
        <f>IFERROR(__xludf.DUMMYFUNCTION("""COMPUTED_VALUE"""),"English")</f>
        <v>English</v>
      </c>
      <c r="K503" s="22">
        <f>IFERROR(__xludf.DUMMYFUNCTION("""COMPUTED_VALUE"""),44442.0)</f>
        <v>44442</v>
      </c>
      <c r="L503" s="23" t="str">
        <f>IFERROR(__xludf.DUMMYFUNCTION("""COMPUTED_VALUE"""),"https://masterplan.com/courses/was-eine-fuehrungspersoenlichkeit-ausmacht")</f>
        <v>https://masterplan.com/courses/was-eine-fuehrungspersoenlichkeit-ausmacht</v>
      </c>
    </row>
    <row r="504">
      <c r="A504" s="6" t="str">
        <f>IFERROR(__xludf.DUMMYFUNCTION("""COMPUTED_VALUE"""),"Die Freizeit genießen, ohne an Arbeit zu denken")</f>
        <v>Die Freizeit genießen, ohne an Arbeit zu denken</v>
      </c>
      <c r="B504" s="7" t="str">
        <f>IFERROR(__xludf.DUMMYFUNCTION("""COMPUTED_VALUE"""),"Turn Off Work Thoughts in Your Free Time")</f>
        <v>Turn Off Work Thoughts in Your Free Time</v>
      </c>
      <c r="C504" s="8" t="str">
        <f>IFERROR(__xludf.DUMMYFUNCTION("""COMPUTED_VALUE"""),"Bist du erschöpft? Vielleicht verbringst du zu viel Zeit damit über deinen Job zu grübeln, sagt der Psychologe Guy Winch. Lerne, wie du mit drei einfachen Methoden deine Sorgen über noch anstehende Aufgaben oder Spannungen im Büro beiseite legst und neue "&amp;"Energie tankst.")</f>
        <v>Bist du erschöpft? Vielleicht verbringst du zu viel Zeit damit über deinen Job zu grübeln, sagt der Psychologe Guy Winch. Lerne, wie du mit drei einfachen Methoden deine Sorgen über noch anstehende Aufgaben oder Spannungen im Büro beiseite legst und neue Energie tankst.</v>
      </c>
      <c r="D504" s="8" t="str">
        <f>IFERROR(__xludf.DUMMYFUNCTION("""COMPUTED_VALUE"""),"Feeling burned out? You may be spending too much time ruminating about your job, says psychologist Guy Winch. Learn how to stop worrying about tomorrow's tasks or stewing over office tensions with three simple techniques for helping you relax and recharge"&amp;" after work.")</f>
        <v>Feeling burned out? You may be spending too much time ruminating about your job, says psychologist Guy Winch. Learn how to stop worrying about tomorrow's tasks or stewing over office tensions with three simple techniques for helping you relax and recharge after work.</v>
      </c>
      <c r="E504" s="24" t="str">
        <f>IFERROR(__xludf.DUMMYFUNCTION("""COMPUTED_VALUE"""),"Emotional Intelligence")</f>
        <v>Emotional Intelligence</v>
      </c>
      <c r="F504" s="10" t="str">
        <f>IFERROR(__xludf.DUMMYFUNCTION("""COMPUTED_VALUE"""),"TED - Guy Winch")</f>
        <v>TED - Guy Winch</v>
      </c>
      <c r="G504" s="11">
        <f>IFERROR(__xludf.DUMMYFUNCTION("""COMPUTED_VALUE"""),14.0)</f>
        <v>14</v>
      </c>
      <c r="H504" s="11">
        <f>IFERROR(__xludf.DUMMYFUNCTION("""COMPUTED_VALUE"""),4.0)</f>
        <v>4</v>
      </c>
      <c r="I504" s="12" t="str">
        <f>IFERROR(__xludf.DUMMYFUNCTION("""COMPUTED_VALUE"""),"English, German")</f>
        <v>English, German</v>
      </c>
      <c r="J504" s="12" t="str">
        <f>IFERROR(__xludf.DUMMYFUNCTION("""COMPUTED_VALUE"""),"English")</f>
        <v>English</v>
      </c>
      <c r="K504" s="13">
        <f>IFERROR(__xludf.DUMMYFUNCTION("""COMPUTED_VALUE"""),44441.0)</f>
        <v>44441</v>
      </c>
      <c r="L504" s="14" t="str">
        <f>IFERROR(__xludf.DUMMYFUNCTION("""COMPUTED_VALUE"""),"https://masterplan.com/courses/die-freizeit-geniessen-ohne-an-arbeit-zu-denken")</f>
        <v>https://masterplan.com/courses/die-freizeit-geniessen-ohne-an-arbeit-zu-denken</v>
      </c>
    </row>
    <row r="505">
      <c r="A505" s="15" t="str">
        <f>IFERROR(__xludf.DUMMYFUNCTION("""COMPUTED_VALUE"""),"So machen Zoom-Meetings Spaß")</f>
        <v>So machen Zoom-Meetings Spaß</v>
      </c>
      <c r="B505" s="16" t="str">
        <f>IFERROR(__xludf.DUMMYFUNCTION("""COMPUTED_VALUE"""),"Making Zoom Meetings Fun")</f>
        <v>Making Zoom Meetings Fun</v>
      </c>
      <c r="C505" s="17" t="str">
        <f>IFERROR(__xludf.DUMMYFUNCTION("""COMPUTED_VALUE"""),"Langweilige Online-Meetings vergeuden die Zeit und das Potential aller Beteiligten. Wie kannst du die Beteiligung deines Publikums anregen? Hier lernst du die Zoom-Funktionen kennen und erhältst Tipps, um deine Online-Meetings produktiv und lebendig zu ge"&amp;"stalten.")</f>
        <v>Langweilige Online-Meetings vergeuden die Zeit und das Potential aller Beteiligten. Wie kannst du die Beteiligung deines Publikums anregen? Hier lernst du die Zoom-Funktionen kennen und erhältst Tipps, um deine Online-Meetings produktiv und lebendig zu gestalten.</v>
      </c>
      <c r="D505" s="17" t="str">
        <f>IFERROR(__xludf.DUMMYFUNCTION("""COMPUTED_VALUE"""),"Boring online meetings waste the time and potential of everyone attending. Learn how you can engage your audience behind a screen as effectively as you would in person through interactive activities, Zoom features, and tips for productive and fun online m"&amp;"eetings!")</f>
        <v>Boring online meetings waste the time and potential of everyone attending. Learn how you can engage your audience behind a screen as effectively as you would in person through interactive activities, Zoom features, and tips for productive and fun online meetings!</v>
      </c>
      <c r="E505" s="28" t="str">
        <f>IFERROR(__xludf.DUMMYFUNCTION("""COMPUTED_VALUE"""),"Communication")</f>
        <v>Communication</v>
      </c>
      <c r="F505" s="19" t="str">
        <f>IFERROR(__xludf.DUMMYFUNCTION("""COMPUTED_VALUE"""),"UPSKILLHQ - Treena Nairne and Angela Cheung")</f>
        <v>UPSKILLHQ - Treena Nairne and Angela Cheung</v>
      </c>
      <c r="G505" s="20">
        <f>IFERROR(__xludf.DUMMYFUNCTION("""COMPUTED_VALUE"""),26.0)</f>
        <v>26</v>
      </c>
      <c r="H505" s="20">
        <f>IFERROR(__xludf.DUMMYFUNCTION("""COMPUTED_VALUE"""),18.0)</f>
        <v>18</v>
      </c>
      <c r="I505" s="21" t="str">
        <f>IFERROR(__xludf.DUMMYFUNCTION("""COMPUTED_VALUE"""),"English, German")</f>
        <v>English, German</v>
      </c>
      <c r="J505" s="21" t="str">
        <f>IFERROR(__xludf.DUMMYFUNCTION("""COMPUTED_VALUE"""),"English")</f>
        <v>English</v>
      </c>
      <c r="K505" s="22">
        <f>IFERROR(__xludf.DUMMYFUNCTION("""COMPUTED_VALUE"""),44440.0)</f>
        <v>44440</v>
      </c>
      <c r="L505" s="23" t="str">
        <f>IFERROR(__xludf.DUMMYFUNCTION("""COMPUTED_VALUE"""),"https://masterplan.com/courses/so-machen-zoom-meetings-spass")</f>
        <v>https://masterplan.com/courses/so-machen-zoom-meetings-spass</v>
      </c>
    </row>
    <row r="506">
      <c r="A506" s="6" t="str">
        <f>IFERROR(__xludf.DUMMYFUNCTION("""COMPUTED_VALUE"""),"In Zoom-Meetings optimal aussehen &amp; klingen")</f>
        <v>In Zoom-Meetings optimal aussehen &amp; klingen</v>
      </c>
      <c r="B506" s="7" t="str">
        <f>IFERROR(__xludf.DUMMYFUNCTION("""COMPUTED_VALUE"""),"Look and Sound Your Best on Zoom")</f>
        <v>Look and Sound Your Best on Zoom</v>
      </c>
      <c r="C506" s="8" t="str">
        <f>IFERROR(__xludf.DUMMYFUNCTION("""COMPUTED_VALUE"""),"Welchen ersten Eindruck willst du in virtuellen Meetings machen? In dieser Lektion geben dir die Videoproduzentinnen und Kommunikationsexpertinnen Treena und Angela einfache Tipps in Sachen Ton und Video, damit du auf Zoom immer gut aussiehst und gut klin"&amp;"gst.")</f>
        <v>Welchen ersten Eindruck willst du in virtuellen Meetings machen? In dieser Lektion geben dir die Videoproduzentinnen und Kommunikationsexpertinnen Treena und Angela einfache Tipps in Sachen Ton und Video, damit du auf Zoom immer gut aussiehst und gut klingst.</v>
      </c>
      <c r="D506" s="8" t="str">
        <f>IFERROR(__xludf.DUMMYFUNCTION("""COMPUTED_VALUE"""),"What kind of first impression do you make in virtual meetings? In this lesson, video production and communication experts Treena and Angela walk you through simple audio and video tips to make sure you always look and sound your best on Zoom.")</f>
        <v>What kind of first impression do you make in virtual meetings? In this lesson, video production and communication experts Treena and Angela walk you through simple audio and video tips to make sure you always look and sound your best on Zoom.</v>
      </c>
      <c r="E506" s="28" t="str">
        <f>IFERROR(__xludf.DUMMYFUNCTION("""COMPUTED_VALUE"""),"Communication")</f>
        <v>Communication</v>
      </c>
      <c r="F506" s="10" t="str">
        <f>IFERROR(__xludf.DUMMYFUNCTION("""COMPUTED_VALUE"""),"UPSKILLHQ - Treena Nairne and Angela Cheung")</f>
        <v>UPSKILLHQ - Treena Nairne and Angela Cheung</v>
      </c>
      <c r="G506" s="11">
        <f>IFERROR(__xludf.DUMMYFUNCTION("""COMPUTED_VALUE"""),15.0)</f>
        <v>15</v>
      </c>
      <c r="H506" s="11">
        <f>IFERROR(__xludf.DUMMYFUNCTION("""COMPUTED_VALUE"""),15.0)</f>
        <v>15</v>
      </c>
      <c r="I506" s="12" t="str">
        <f>IFERROR(__xludf.DUMMYFUNCTION("""COMPUTED_VALUE"""),"English, German")</f>
        <v>English, German</v>
      </c>
      <c r="J506" s="12" t="str">
        <f>IFERROR(__xludf.DUMMYFUNCTION("""COMPUTED_VALUE"""),"English")</f>
        <v>English</v>
      </c>
      <c r="K506" s="13">
        <f>IFERROR(__xludf.DUMMYFUNCTION("""COMPUTED_VALUE"""),44440.0)</f>
        <v>44440</v>
      </c>
      <c r="L506" s="14" t="str">
        <f>IFERROR(__xludf.DUMMYFUNCTION("""COMPUTED_VALUE"""),"https://masterplan.com/courses/in-zoom-meetings-optimal-aussehen-und-klingen")</f>
        <v>https://masterplan.com/courses/in-zoom-meetings-optimal-aussehen-und-klingen</v>
      </c>
    </row>
    <row r="507">
      <c r="A507" s="15" t="str">
        <f>IFERROR(__xludf.DUMMYFUNCTION("""COMPUTED_VALUE"""),"Zoom-Meetings meistern: Technische Tipps &amp; Tricks")</f>
        <v>Zoom-Meetings meistern: Technische Tipps &amp; Tricks</v>
      </c>
      <c r="B507" s="16" t="str">
        <f>IFERROR(__xludf.DUMMYFUNCTION("""COMPUTED_VALUE"""),"Boom Into Your Zoom: Tech Tips for Online Meetings")</f>
        <v>Boom Into Your Zoom: Tech Tips for Online Meetings</v>
      </c>
      <c r="C507" s="17" t="str">
        <f>IFERROR(__xludf.DUMMYFUNCTION("""COMPUTED_VALUE"""),"Wie gestaltest du ein Online-Meeting so ansprechend, interaktiv und produktiv wie ein persönliches Meeting? Die Zoomexpertinnen Angela Cheung und Treena Nairne geben dir die technischen Tipps, mit denen du auf Zoom die perfekten Bedingungen für jedes Meet"&amp;"ing schaffst.")</f>
        <v>Wie gestaltest du ein Online-Meeting so ansprechend, interaktiv und produktiv wie ein persönliches Meeting? Die Zoomexpertinnen Angela Cheung und Treena Nairne geben dir die technischen Tipps, mit denen du auf Zoom die perfekten Bedingungen für jedes Meeting schaffst.</v>
      </c>
      <c r="D507" s="17" t="str">
        <f>IFERROR(__xludf.DUMMYFUNCTION("""COMPUTED_VALUE"""),"How can you make virtual meetings feel as engaging, collaborative, and productive as meeting face-to-face? Zoom professionals Angela Cheung and Treena Nairne give you all the tech tips to master Zoom, so you can create the perfect environment for every me"&amp;"eting.")</f>
        <v>How can you make virtual meetings feel as engaging, collaborative, and productive as meeting face-to-face? Zoom professionals Angela Cheung and Treena Nairne give you all the tech tips to master Zoom, so you can create the perfect environment for every meeting.</v>
      </c>
      <c r="E507" s="28" t="str">
        <f>IFERROR(__xludf.DUMMYFUNCTION("""COMPUTED_VALUE"""),"Communication")</f>
        <v>Communication</v>
      </c>
      <c r="F507" s="19" t="str">
        <f>IFERROR(__xludf.DUMMYFUNCTION("""COMPUTED_VALUE"""),"UPSKILLHQ - Treena Nairne and Angela Cheung")</f>
        <v>UPSKILLHQ - Treena Nairne and Angela Cheung</v>
      </c>
      <c r="G507" s="20">
        <f>IFERROR(__xludf.DUMMYFUNCTION("""COMPUTED_VALUE"""),34.0)</f>
        <v>34</v>
      </c>
      <c r="H507" s="20">
        <f>IFERROR(__xludf.DUMMYFUNCTION("""COMPUTED_VALUE"""),24.0)</f>
        <v>24</v>
      </c>
      <c r="I507" s="21" t="str">
        <f>IFERROR(__xludf.DUMMYFUNCTION("""COMPUTED_VALUE"""),"English, German")</f>
        <v>English, German</v>
      </c>
      <c r="J507" s="21" t="str">
        <f>IFERROR(__xludf.DUMMYFUNCTION("""COMPUTED_VALUE"""),"English")</f>
        <v>English</v>
      </c>
      <c r="K507" s="22">
        <f>IFERROR(__xludf.DUMMYFUNCTION("""COMPUTED_VALUE"""),44440.0)</f>
        <v>44440</v>
      </c>
      <c r="L507" s="23" t="str">
        <f>IFERROR(__xludf.DUMMYFUNCTION("""COMPUTED_VALUE"""),"https://masterplan.com/courses/zoom-meetings-meistern-technische-tipps-tricks")</f>
        <v>https://masterplan.com/courses/zoom-meetings-meistern-technische-tipps-tricks</v>
      </c>
    </row>
    <row r="508">
      <c r="A508" s="6" t="str">
        <f>IFERROR(__xludf.DUMMYFUNCTION("""COMPUTED_VALUE"""),"Warum ein Sponsor so wichtig sein kann")</f>
        <v>Warum ein Sponsor so wichtig sein kann</v>
      </c>
      <c r="B508" s="7" t="str">
        <f>IFERROR(__xludf.DUMMYFUNCTION("""COMPUTED_VALUE"""),"The Importance of Getting a Sponsor")</f>
        <v>The Importance of Getting a Sponsor</v>
      </c>
      <c r="C508" s="8" t="str">
        <f>IFERROR(__xludf.DUMMYFUNCTION("""COMPUTED_VALUE"""),"Häufig denken wir, dass wir durch harte Arbeit im Beruf erfolgreich werden. In Wahrheit ist jedoch eine:e Sponsor:in der Schlüssel, um voranzukommen. Carla Harris teilt Erfahrungen aus ihrer Karriere im Finanzsektor, um zu illustrieren, wie wichtig ein:e "&amp;"Sponsor:in ist.")</f>
        <v>Häufig denken wir, dass wir durch harte Arbeit im Beruf erfolgreich werden. In Wahrheit ist jedoch eine:e Sponsor:in der Schlüssel, um voranzukommen. Carla Harris teilt Erfahrungen aus ihrer Karriere im Finanzsektor, um zu illustrieren, wie wichtig ein:e Sponsor:in ist.</v>
      </c>
      <c r="D508" s="8" t="str">
        <f>IFERROR(__xludf.DUMMYFUNCTION("""COMPUTED_VALUE"""),"The workplace is often presented as a meritocracy, where you can succeed by putting your head down and working hard. But the key to getting ahead is to get a sponsor. Carla Harris shares stories from her Wall Street career on the importance of getting a s"&amp;"ponsor at work.")</f>
        <v>The workplace is often presented as a meritocracy, where you can succeed by putting your head down and working hard. But the key to getting ahead is to get a sponsor. Carla Harris shares stories from her Wall Street career on the importance of getting a sponsor at work.</v>
      </c>
      <c r="E508" s="26" t="str">
        <f>IFERROR(__xludf.DUMMYFUNCTION("""COMPUTED_VALUE"""),"Collaboration and Leadership")</f>
        <v>Collaboration and Leadership</v>
      </c>
      <c r="F508" s="10" t="str">
        <f>IFERROR(__xludf.DUMMYFUNCTION("""COMPUTED_VALUE"""),"TED - Carla Harris")</f>
        <v>TED - Carla Harris</v>
      </c>
      <c r="G508" s="11">
        <f>IFERROR(__xludf.DUMMYFUNCTION("""COMPUTED_VALUE"""),15.0)</f>
        <v>15</v>
      </c>
      <c r="H508" s="11">
        <f>IFERROR(__xludf.DUMMYFUNCTION("""COMPUTED_VALUE"""),4.0)</f>
        <v>4</v>
      </c>
      <c r="I508" s="12" t="str">
        <f>IFERROR(__xludf.DUMMYFUNCTION("""COMPUTED_VALUE"""),"English, German")</f>
        <v>English, German</v>
      </c>
      <c r="J508" s="12" t="str">
        <f>IFERROR(__xludf.DUMMYFUNCTION("""COMPUTED_VALUE"""),"English")</f>
        <v>English</v>
      </c>
      <c r="K508" s="13">
        <f>IFERROR(__xludf.DUMMYFUNCTION("""COMPUTED_VALUE"""),44438.0)</f>
        <v>44438</v>
      </c>
      <c r="L508" s="14" t="str">
        <f>IFERROR(__xludf.DUMMYFUNCTION("""COMPUTED_VALUE"""),"https://masterplan.com/courses/warum-ein-sponsor-so-wichtig-sein-kann")</f>
        <v>https://masterplan.com/courses/warum-ein-sponsor-so-wichtig-sein-kann</v>
      </c>
    </row>
    <row r="509">
      <c r="A509" s="15" t="str">
        <f>IFERROR(__xludf.DUMMYFUNCTION("""COMPUTED_VALUE"""),"Was macht gute Führung aus?")</f>
        <v>Was macht gute Führung aus?</v>
      </c>
      <c r="B509" s="16" t="str">
        <f>IFERROR(__xludf.DUMMYFUNCTION("""COMPUTED_VALUE"""),"The Dos and Don'ts of Good Leadership")</f>
        <v>The Dos and Don'ts of Good Leadership</v>
      </c>
      <c r="C509" s="17" t="str">
        <f>IFERROR(__xludf.DUMMYFUNCTION("""COMPUTED_VALUE"""),"Wie sieht eine gute Führungspersönlichkeit aus? Welche Entscheidungen, können wir treffen können, um in den Augen unserer Mitmenschen vertrauenswürdiger und kompetenter zu erscheinen? Vier Führungsexperten erklären, was eine gute Führungskraft ausmacht.")</f>
        <v>Wie sieht eine gute Führungspersönlichkeit aus? Welche Entscheidungen, können wir treffen können, um in den Augen unserer Mitmenschen vertrauenswürdiger und kompetenter zu erscheinen? Vier Führungsexperten erklären, was eine gute Führungskraft ausmacht.</v>
      </c>
      <c r="D509" s="17" t="str">
        <f>IFERROR(__xludf.DUMMYFUNCTION("""COMPUTED_VALUE"""),"What does it take to be a good leader? Is it just a personality trait, or are there choices we can make to appear more trustworthy and competenent in the eyes of our peers? We've gathered four leadership experts who will teach you how to take charge and w"&amp;"hen to let go.")</f>
        <v>What does it take to be a good leader? Is it just a personality trait, or are there choices we can make to appear more trustworthy and competenent in the eyes of our peers? We've gathered four leadership experts who will teach you how to take charge and when to let go.</v>
      </c>
      <c r="E509" s="26" t="str">
        <f>IFERROR(__xludf.DUMMYFUNCTION("""COMPUTED_VALUE"""),"Collaboration and Leadership")</f>
        <v>Collaboration and Leadership</v>
      </c>
      <c r="F509" s="19" t="str">
        <f>IFERROR(__xludf.DUMMYFUNCTION("""COMPUTED_VALUE"""),"TED - Chieh Huang | Elizabeth Lyle | Frances Frei | Simon Sinek")</f>
        <v>TED - Chieh Huang | Elizabeth Lyle | Frances Frei | Simon Sinek</v>
      </c>
      <c r="G509" s="20">
        <f>IFERROR(__xludf.DUMMYFUNCTION("""COMPUTED_VALUE"""),54.0)</f>
        <v>54</v>
      </c>
      <c r="H509" s="20">
        <f>IFERROR(__xludf.DUMMYFUNCTION("""COMPUTED_VALUE"""),12.0)</f>
        <v>12</v>
      </c>
      <c r="I509" s="21" t="str">
        <f>IFERROR(__xludf.DUMMYFUNCTION("""COMPUTED_VALUE"""),"English, German")</f>
        <v>English, German</v>
      </c>
      <c r="J509" s="21" t="str">
        <f>IFERROR(__xludf.DUMMYFUNCTION("""COMPUTED_VALUE"""),"English")</f>
        <v>English</v>
      </c>
      <c r="K509" s="22">
        <f>IFERROR(__xludf.DUMMYFUNCTION("""COMPUTED_VALUE"""),44438.0)</f>
        <v>44438</v>
      </c>
      <c r="L509" s="23" t="str">
        <f>IFERROR(__xludf.DUMMYFUNCTION("""COMPUTED_VALUE"""),"https://masterplan.com/courses/was-macht-gute-fuehrung-aus")</f>
        <v>https://masterplan.com/courses/was-macht-gute-fuehrung-aus</v>
      </c>
    </row>
    <row r="510">
      <c r="A510" s="6" t="str">
        <f>IFERROR(__xludf.DUMMYFUNCTION("""COMPUTED_VALUE"""),"Wie man für sich selbst einsteht")</f>
        <v>Wie man für sich selbst einsteht</v>
      </c>
      <c r="B510" s="7" t="str">
        <f>IFERROR(__xludf.DUMMYFUNCTION("""COMPUTED_VALUE"""),"How to Speak Up for Yourself")</f>
        <v>How to Speak Up for Yourself</v>
      </c>
      <c r="C510" s="8" t="str">
        <f>IFERROR(__xludf.DUMMYFUNCTION("""COMPUTED_VALUE"""),"Es ist nicht leicht, seine Meinung zu sagen, auch, wenn man weiß, dass man es tun sollte. In diesem TED-Talk erklärt der Sozialpsychologe Adam Galinsky, warum es uns manchmal schwerfällt, unsere Meinung zu äußern. Er erklärt, wie du deine Stimme findest u"&amp;"nd durchsetzt.")</f>
        <v>Es ist nicht leicht, seine Meinung zu sagen, auch, wenn man weiß, dass man es tun sollte. In diesem TED-Talk erklärt der Sozialpsychologe Adam Galinsky, warum es uns manchmal schwerfällt, unsere Meinung zu äußern. Er erklärt, wie du deine Stimme findest und durchsetzt.</v>
      </c>
      <c r="D510" s="8" t="str">
        <f>IFERROR(__xludf.DUMMYFUNCTION("""COMPUTED_VALUE"""),"Speaking up isn't easy – not even when you know you should. In this TED Talk, join social psychologist Adam Galinsky as he breaks down why we find it difficult to speak up sometimes and shares tools to help you find and assert your voice.")</f>
        <v>Speaking up isn't easy – not even when you know you should. In this TED Talk, join social psychologist Adam Galinsky as he breaks down why we find it difficult to speak up sometimes and shares tools to help you find and assert your voice.</v>
      </c>
      <c r="E510" s="18" t="str">
        <f>IFERROR(__xludf.DUMMYFUNCTION("""COMPUTED_VALUE"""),"Creativity and Innovation")</f>
        <v>Creativity and Innovation</v>
      </c>
      <c r="F510" s="10" t="str">
        <f>IFERROR(__xludf.DUMMYFUNCTION("""COMPUTED_VALUE"""),"TED - Adan Galinsky")</f>
        <v>TED - Adan Galinsky</v>
      </c>
      <c r="G510" s="11">
        <f>IFERROR(__xludf.DUMMYFUNCTION("""COMPUTED_VALUE"""),17.0)</f>
        <v>17</v>
      </c>
      <c r="H510" s="11">
        <f>IFERROR(__xludf.DUMMYFUNCTION("""COMPUTED_VALUE"""),4.0)</f>
        <v>4</v>
      </c>
      <c r="I510" s="12" t="str">
        <f>IFERROR(__xludf.DUMMYFUNCTION("""COMPUTED_VALUE"""),"English, German")</f>
        <v>English, German</v>
      </c>
      <c r="J510" s="12" t="str">
        <f>IFERROR(__xludf.DUMMYFUNCTION("""COMPUTED_VALUE"""),"English")</f>
        <v>English</v>
      </c>
      <c r="K510" s="13">
        <f>IFERROR(__xludf.DUMMYFUNCTION("""COMPUTED_VALUE"""),44435.0)</f>
        <v>44435</v>
      </c>
      <c r="L510" s="14" t="str">
        <f>IFERROR(__xludf.DUMMYFUNCTION("""COMPUTED_VALUE"""),"https://masterplan.com/courses/wie-man-fuer-sich-selbst-einsteht")</f>
        <v>https://masterplan.com/courses/wie-man-fuer-sich-selbst-einsteht</v>
      </c>
    </row>
    <row r="511">
      <c r="A511" s="15" t="str">
        <f>IFERROR(__xludf.DUMMYFUNCTION("""COMPUTED_VALUE"""),"Mit Wohlbefinden zu effizienterer Arbeit")</f>
        <v>Mit Wohlbefinden zu effizienterer Arbeit</v>
      </c>
      <c r="B511" s="16" t="str">
        <f>IFERROR(__xludf.DUMMYFUNCTION("""COMPUTED_VALUE"""),"The Positive Impacts of Physical Wellness at Work")</f>
        <v>The Positive Impacts of Physical Wellness at Work</v>
      </c>
      <c r="C511" s="17" t="str">
        <f>IFERROR(__xludf.DUMMYFUNCTION("""COMPUTED_VALUE"""),"Vieles beeinflusst unser körperliches Wohlbefinden. Wir jonglieren Arbeit, Haushalt und Familie und achten gleichzeitig auf das Wohlbefinden unseres Körpers. In diesem Kurs erfährst du, wie Ernährung, Schlaf und eine gute Körperhaltung, zu einem gesunden "&amp;"Leben führt.")</f>
        <v>Vieles beeinflusst unser körperliches Wohlbefinden. Wir jonglieren Arbeit, Haushalt und Familie und achten gleichzeitig auf das Wohlbefinden unseres Körpers. In diesem Kurs erfährst du, wie Ernährung, Schlaf und eine gute Körperhaltung, zu einem gesunden Leben führt.</v>
      </c>
      <c r="D511" s="17" t="str">
        <f>IFERROR(__xludf.DUMMYFUNCTION("""COMPUTED_VALUE"""),"There are a lot of factors that affect our physical wellness. We need to juggle between work, home and family while paying attention to wellness of our body. In this course, you will learn more about nutrition, sleep, and good posture to keep up with heal"&amp;"thy life.")</f>
        <v>There are a lot of factors that affect our physical wellness. We need to juggle between work, home and family while paying attention to wellness of our body. In this course, you will learn more about nutrition, sleep, and good posture to keep up with healthy life.</v>
      </c>
      <c r="E511" s="24" t="str">
        <f>IFERROR(__xludf.DUMMYFUNCTION("""COMPUTED_VALUE"""),"Emotional Intelligence")</f>
        <v>Emotional Intelligence</v>
      </c>
      <c r="F511" s="19" t="str">
        <f>IFERROR(__xludf.DUMMYFUNCTION("""COMPUTED_VALUE"""),"TED")</f>
        <v>TED</v>
      </c>
      <c r="G511" s="20">
        <f>IFERROR(__xludf.DUMMYFUNCTION("""COMPUTED_VALUE"""),19.0)</f>
        <v>19</v>
      </c>
      <c r="H511" s="20">
        <f>IFERROR(__xludf.DUMMYFUNCTION("""COMPUTED_VALUE"""),11.0)</f>
        <v>11</v>
      </c>
      <c r="I511" s="21" t="str">
        <f>IFERROR(__xludf.DUMMYFUNCTION("""COMPUTED_VALUE"""),"English, German")</f>
        <v>English, German</v>
      </c>
      <c r="J511" s="21" t="str">
        <f>IFERROR(__xludf.DUMMYFUNCTION("""COMPUTED_VALUE"""),"English")</f>
        <v>English</v>
      </c>
      <c r="K511" s="22">
        <f>IFERROR(__xludf.DUMMYFUNCTION("""COMPUTED_VALUE"""),44434.0)</f>
        <v>44434</v>
      </c>
      <c r="L511" s="23" t="str">
        <f>IFERROR(__xludf.DUMMYFUNCTION("""COMPUTED_VALUE"""),"https://masterplan.com/courses/mit-wohlbefinden-zu-effizienterer-arbeit")</f>
        <v>https://masterplan.com/courses/mit-wohlbefinden-zu-effizienterer-arbeit</v>
      </c>
    </row>
    <row r="512">
      <c r="A512" s="6" t="str">
        <f>IFERROR(__xludf.DUMMYFUNCTION("""COMPUTED_VALUE"""),"Wie wir Zusammenarbeit im Beruf optimieren können")</f>
        <v>Wie wir Zusammenarbeit im Beruf optimieren können</v>
      </c>
      <c r="B512" s="7" t="str">
        <f>IFERROR(__xludf.DUMMYFUNCTION("""COMPUTED_VALUE"""),"How to Achieve Better Collaboration at Work")</f>
        <v>How to Achieve Better Collaboration at Work</v>
      </c>
      <c r="C512" s="8" t="str">
        <f>IFERROR(__xludf.DUMMYFUNCTION("""COMPUTED_VALUE"""),"Die Zusammenarbeit mit anderen Menschen kann eine Herausforderung sein - gerade, wenn verschiedene Persönlichkeiten aufeinandertreffen. In diesem Kurs erfährst du, wie du in einem Team von Fremden Synergien entwickeln kannst und was Großzügigkeit mit all "&amp;"dem zu tun hat.")</f>
        <v>Die Zusammenarbeit mit anderen Menschen kann eine Herausforderung sein - gerade, wenn verschiedene Persönlichkeiten aufeinandertreffen. In diesem Kurs erfährst du, wie du in einem Team von Fremden Synergien entwickeln kannst und was Großzügigkeit mit all dem zu tun hat.</v>
      </c>
      <c r="D512" s="8" t="str">
        <f>IFERROR(__xludf.DUMMYFUNCTION("""COMPUTED_VALUE"""),"Collaborating with people can be challenging – particularly when a mix of personalities is involved. In this course, learn how to develop synergy among a team of strangers and what generosity has to do with it all.")</f>
        <v>Collaborating with people can be challenging – particularly when a mix of personalities is involved. In this course, learn how to develop synergy among a team of strangers and what generosity has to do with it all.</v>
      </c>
      <c r="E512" s="18" t="str">
        <f>IFERROR(__xludf.DUMMYFUNCTION("""COMPUTED_VALUE"""),"Creativity and Innovation")</f>
        <v>Creativity and Innovation</v>
      </c>
      <c r="F512" s="10" t="str">
        <f>IFERROR(__xludf.DUMMYFUNCTION("""COMPUTED_VALUE"""),"TED - Adam Grant &amp; Amy Edmondson")</f>
        <v>TED - Adam Grant &amp; Amy Edmondson</v>
      </c>
      <c r="G512" s="11">
        <f>IFERROR(__xludf.DUMMYFUNCTION("""COMPUTED_VALUE"""),32.0)</f>
        <v>32</v>
      </c>
      <c r="H512" s="11">
        <f>IFERROR(__xludf.DUMMYFUNCTION("""COMPUTED_VALUE"""),8.0)</f>
        <v>8</v>
      </c>
      <c r="I512" s="12" t="str">
        <f>IFERROR(__xludf.DUMMYFUNCTION("""COMPUTED_VALUE"""),"English, German")</f>
        <v>English, German</v>
      </c>
      <c r="J512" s="12" t="str">
        <f>IFERROR(__xludf.DUMMYFUNCTION("""COMPUTED_VALUE"""),"English")</f>
        <v>English</v>
      </c>
      <c r="K512" s="13">
        <f>IFERROR(__xludf.DUMMYFUNCTION("""COMPUTED_VALUE"""),44434.0)</f>
        <v>44434</v>
      </c>
      <c r="L512" s="14" t="str">
        <f>IFERROR(__xludf.DUMMYFUNCTION("""COMPUTED_VALUE"""),"https://masterplan.com/courses/wie-wir-zusammenarbeit-im-beruf-optimieren-koennen")</f>
        <v>https://masterplan.com/courses/wie-wir-zusammenarbeit-im-beruf-optimieren-koennen</v>
      </c>
    </row>
    <row r="513">
      <c r="A513" s="15" t="str">
        <f>IFERROR(__xludf.DUMMYFUNCTION("""COMPUTED_VALUE"""),"Gute Kommunikation in Konversationen und Konflikten")</f>
        <v>Gute Kommunikation in Konversationen und Konflikten</v>
      </c>
      <c r="B513" s="16" t="str">
        <f>IFERROR(__xludf.DUMMYFUNCTION("""COMPUTED_VALUE"""),"Good Communication in Conversation and Conflict")</f>
        <v>Good Communication in Conversation and Conflict</v>
      </c>
      <c r="C513" s="17" t="str">
        <f>IFERROR(__xludf.DUMMYFUNCTION("""COMPUTED_VALUE"""),"Wir alle scheuen Konflikte, aber hast du schon einmal darüber nachgedacht, wie wir davon profitieren können? In diesem Kurs lernst du, was Konversationskompetenz ist und wie sie das Beste aus dir und den Menschen um dich herum herausholt.")</f>
        <v>Wir alle scheuen Konflikte, aber hast du schon einmal darüber nachgedacht, wie wir davon profitieren können? In diesem Kurs lernst du, was Konversationskompetenz ist und wie sie das Beste aus dir und den Menschen um dich herum herausholt.</v>
      </c>
      <c r="D513" s="17" t="str">
        <f>IFERROR(__xludf.DUMMYFUNCTION("""COMPUTED_VALUE"""),"Avoiding conflict is a common behavior, but do we ever think about its unique benefit? In this course, you will learn the effect of conversational competency on conflict management and how it allows ourselves and people around us to perform our best think"&amp;"ing.")</f>
        <v>Avoiding conflict is a common behavior, but do we ever think about its unique benefit? In this course, you will learn the effect of conversational competency on conflict management and how it allows ourselves and people around us to perform our best thinking.</v>
      </c>
      <c r="E513" s="28" t="str">
        <f>IFERROR(__xludf.DUMMYFUNCTION("""COMPUTED_VALUE"""),"Communication")</f>
        <v>Communication</v>
      </c>
      <c r="F513" s="19" t="str">
        <f>IFERROR(__xludf.DUMMYFUNCTION("""COMPUTED_VALUE"""),"TED - Celeste Headlee &amp; Margaret Heffernan")</f>
        <v>TED - Celeste Headlee &amp; Margaret Heffernan</v>
      </c>
      <c r="G513" s="20">
        <f>IFERROR(__xludf.DUMMYFUNCTION("""COMPUTED_VALUE"""),29.0)</f>
        <v>29</v>
      </c>
      <c r="H513" s="20">
        <f>IFERROR(__xludf.DUMMYFUNCTION("""COMPUTED_VALUE"""),8.0)</f>
        <v>8</v>
      </c>
      <c r="I513" s="21" t="str">
        <f>IFERROR(__xludf.DUMMYFUNCTION("""COMPUTED_VALUE"""),"English, German")</f>
        <v>English, German</v>
      </c>
      <c r="J513" s="21" t="str">
        <f>IFERROR(__xludf.DUMMYFUNCTION("""COMPUTED_VALUE"""),"English")</f>
        <v>English</v>
      </c>
      <c r="K513" s="22">
        <f>IFERROR(__xludf.DUMMYFUNCTION("""COMPUTED_VALUE"""),44433.0)</f>
        <v>44433</v>
      </c>
      <c r="L513" s="23" t="str">
        <f>IFERROR(__xludf.DUMMYFUNCTION("""COMPUTED_VALUE"""),"https://masterplan.com/courses/gute-kommunikation-in-konversationen-und-konflikten")</f>
        <v>https://masterplan.com/courses/gute-kommunikation-in-konversationen-und-konflikten</v>
      </c>
    </row>
    <row r="514">
      <c r="A514" s="6" t="str">
        <f>IFERROR(__xludf.DUMMYFUNCTION("""COMPUTED_VALUE"""),"So klappt es mit der kollaborativen Führung ")</f>
        <v>So klappt es mit der kollaborativen Führung </v>
      </c>
      <c r="B514" s="7" t="str">
        <f>IFERROR(__xludf.DUMMYFUNCTION("""COMPUTED_VALUE"""),"A Guide to Collaborative Leadership")</f>
        <v>A Guide to Collaborative Leadership</v>
      </c>
      <c r="C514" s="8" t="str">
        <f>IFERROR(__xludf.DUMMYFUNCTION("""COMPUTED_VALUE"""),"Was ist der Unterschied zwischen Helden und Anführern? In diesem Kurs erklärt Lorna Davis, wie unsere Vergötterung von Helden uns davon abhält, große Probleme zu lösen – und zeigt, warum wir ""radikale Interdependenz"" brauchen, um echte Veränderungen zu "&amp;"bewirken.")</f>
        <v>Was ist der Unterschied zwischen Helden und Anführern? In diesem Kurs erklärt Lorna Davis, wie unsere Vergötterung von Helden uns davon abhält, große Probleme zu lösen – und zeigt, warum wir "radikale Interdependenz" brauchen, um echte Veränderungen zu bewirken.</v>
      </c>
      <c r="D514" s="8" t="str">
        <f>IFERROR(__xludf.DUMMYFUNCTION("""COMPUTED_VALUE"""),"What's the difference between heroes and leaders? In this insightful talk, Lorna Davis explains how our idolization of heroes is holding us back from solving big problems – and shows why we need ""radical interdependence"" to make real change happen.")</f>
        <v>What's the difference between heroes and leaders? In this insightful talk, Lorna Davis explains how our idolization of heroes is holding us back from solving big problems – and shows why we need "radical interdependence" to make real change happen.</v>
      </c>
      <c r="E514" s="26" t="str">
        <f>IFERROR(__xludf.DUMMYFUNCTION("""COMPUTED_VALUE"""),"Collaboration and Leadership")</f>
        <v>Collaboration and Leadership</v>
      </c>
      <c r="F514" s="10" t="str">
        <f>IFERROR(__xludf.DUMMYFUNCTION("""COMPUTED_VALUE"""),"TED - Lorna Davis")</f>
        <v>TED - Lorna Davis</v>
      </c>
      <c r="G514" s="11">
        <f>IFERROR(__xludf.DUMMYFUNCTION("""COMPUTED_VALUE"""),16.0)</f>
        <v>16</v>
      </c>
      <c r="H514" s="11">
        <f>IFERROR(__xludf.DUMMYFUNCTION("""COMPUTED_VALUE"""),4.0)</f>
        <v>4</v>
      </c>
      <c r="I514" s="12" t="str">
        <f>IFERROR(__xludf.DUMMYFUNCTION("""COMPUTED_VALUE"""),"English, German")</f>
        <v>English, German</v>
      </c>
      <c r="J514" s="12" t="str">
        <f>IFERROR(__xludf.DUMMYFUNCTION("""COMPUTED_VALUE"""),"English")</f>
        <v>English</v>
      </c>
      <c r="K514" s="13">
        <f>IFERROR(__xludf.DUMMYFUNCTION("""COMPUTED_VALUE"""),44432.0)</f>
        <v>44432</v>
      </c>
      <c r="L514" s="14" t="str">
        <f>IFERROR(__xludf.DUMMYFUNCTION("""COMPUTED_VALUE"""),"https://masterplan.com/courses/so-klappt-es-mit-der-kollaborativen-fuehrung")</f>
        <v>https://masterplan.com/courses/so-klappt-es-mit-der-kollaborativen-fuehrung</v>
      </c>
    </row>
    <row r="515">
      <c r="A515" s="15" t="str">
        <f>IFERROR(__xludf.DUMMYFUNCTION("""COMPUTED_VALUE"""),"Wie deine größten Kritiker dir helfen können")</f>
        <v>Wie deine größten Kritiker dir helfen können</v>
      </c>
      <c r="B515" s="16" t="str">
        <f>IFERROR(__xludf.DUMMYFUNCTION("""COMPUTED_VALUE"""),"Working with Your Toughest Critics")</f>
        <v>Working with Your Toughest Critics</v>
      </c>
      <c r="C515" s="17" t="str">
        <f>IFERROR(__xludf.DUMMYFUNCTION("""COMPUTED_VALUE"""),"Bob Langert arbeitet mit Unternehmen und ihren schärfsten Kritikern zusammen, um Lösungen zu finden, die der Wirtschaft und Gesellschaft Vorteile bringen. Er erklärt, wie er sich bei seiner Zeit bei McDonald's mit seinen Kritikern über Nachhaltigkeit ausg"&amp;"etauscht hat.")</f>
        <v>Bob Langert arbeitet mit Unternehmen und ihren schärfsten Kritikern zusammen, um Lösungen zu finden, die der Wirtschaft und Gesellschaft Vorteile bringen. Er erklärt, wie er sich bei seiner Zeit bei McDonald's mit seinen Kritikern über Nachhaltigkeit ausgetauscht hat.</v>
      </c>
      <c r="D515" s="17" t="str">
        <f>IFERROR(__xludf.DUMMYFUNCTION("""COMPUTED_VALUE"""),"Bob Langert works with companies and their strongest critics to find solutions that are good for both business and society. In this actionable talk, he shares stories of becoming best allies with his adversaries while working into corporate sustainability"&amp;" at McDonald's.")</f>
        <v>Bob Langert works with companies and their strongest critics to find solutions that are good for both business and society. In this actionable talk, he shares stories of becoming best allies with his adversaries while working into corporate sustainability at McDonald's.</v>
      </c>
      <c r="E515" s="24" t="str">
        <f>IFERROR(__xludf.DUMMYFUNCTION("""COMPUTED_VALUE"""),"Emotional Intelligence")</f>
        <v>Emotional Intelligence</v>
      </c>
      <c r="F515" s="19" t="str">
        <f>IFERROR(__xludf.DUMMYFUNCTION("""COMPUTED_VALUE"""),"TED - Bob Langert")</f>
        <v>TED - Bob Langert</v>
      </c>
      <c r="G515" s="20">
        <f>IFERROR(__xludf.DUMMYFUNCTION("""COMPUTED_VALUE"""),17.0)</f>
        <v>17</v>
      </c>
      <c r="H515" s="20">
        <f>IFERROR(__xludf.DUMMYFUNCTION("""COMPUTED_VALUE"""),4.0)</f>
        <v>4</v>
      </c>
      <c r="I515" s="21" t="str">
        <f>IFERROR(__xludf.DUMMYFUNCTION("""COMPUTED_VALUE"""),"English, German")</f>
        <v>English, German</v>
      </c>
      <c r="J515" s="21" t="str">
        <f>IFERROR(__xludf.DUMMYFUNCTION("""COMPUTED_VALUE"""),"English")</f>
        <v>English</v>
      </c>
      <c r="K515" s="22">
        <f>IFERROR(__xludf.DUMMYFUNCTION("""COMPUTED_VALUE"""),44432.0)</f>
        <v>44432</v>
      </c>
      <c r="L515" s="23" t="str">
        <f>IFERROR(__xludf.DUMMYFUNCTION("""COMPUTED_VALUE"""),"https://masterplan.com/courses/wie-deine-groessten-kritiker-dir-helfen-koennen")</f>
        <v>https://masterplan.com/courses/wie-deine-groessten-kritiker-dir-helfen-koennen</v>
      </c>
    </row>
    <row r="516">
      <c r="A516" s="6" t="str">
        <f>IFERROR(__xludf.DUMMYFUNCTION("""COMPUTED_VALUE"""),"Schluss mit Nettigkeiten")</f>
        <v>Schluss mit Nettigkeiten</v>
      </c>
      <c r="B516" s="7" t="str">
        <f>IFERROR(__xludf.DUMMYFUNCTION("""COMPUTED_VALUE"""),"How to Let Go of Being a ""Good"" Person")</f>
        <v>How to Let Go of Being a "Good" Person</v>
      </c>
      <c r="C516" s="8" t="str">
        <f>IFERROR(__xludf.DUMMYFUNCTION("""COMPUTED_VALUE"""),"Was ist wenn dich dein Bestreben, ein ""guter"" Mensch zu sein, davon abhält, tatsächlich ein besserer Mensch zu werden? In diesem Vortrag erklärt Sozialpsychologin Dolly Chugh die komplexe Psychologie des ethischen Verhaltens und zeigt den richtigen Eins"&amp;"tieg.")</f>
        <v>Was ist wenn dich dein Bestreben, ein "guter" Mensch zu sein, davon abhält, tatsächlich ein besserer Mensch zu werden? In diesem Vortrag erklärt Sozialpsychologin Dolly Chugh die komplexe Psychologie des ethischen Verhaltens und zeigt den richtigen Einstieg.</v>
      </c>
      <c r="D516" s="8" t="str">
        <f>IFERROR(__xludf.DUMMYFUNCTION("""COMPUTED_VALUE"""),"What if your attachment to being a ""good"" person is holding you back from actually becoming a better person? In this accessible talk, social psychologist Dolly Chugh explains the puzzling psychology of ethical behavior and shows the path for better star"&amp;"ts.")</f>
        <v>What if your attachment to being a "good" person is holding you back from actually becoming a better person? In this accessible talk, social psychologist Dolly Chugh explains the puzzling psychology of ethical behavior and shows the path for better starts.</v>
      </c>
      <c r="E516" s="24" t="str">
        <f>IFERROR(__xludf.DUMMYFUNCTION("""COMPUTED_VALUE"""),"Emotional Intelligence")</f>
        <v>Emotional Intelligence</v>
      </c>
      <c r="F516" s="10" t="str">
        <f>IFERROR(__xludf.DUMMYFUNCTION("""COMPUTED_VALUE"""),"TED - Dolly Chugh")</f>
        <v>TED - Dolly Chugh</v>
      </c>
      <c r="G516" s="11">
        <f>IFERROR(__xludf.DUMMYFUNCTION("""COMPUTED_VALUE"""),14.0)</f>
        <v>14</v>
      </c>
      <c r="H516" s="11">
        <f>IFERROR(__xludf.DUMMYFUNCTION("""COMPUTED_VALUE"""),4.0)</f>
        <v>4</v>
      </c>
      <c r="I516" s="12" t="str">
        <f>IFERROR(__xludf.DUMMYFUNCTION("""COMPUTED_VALUE"""),"English, German")</f>
        <v>English, German</v>
      </c>
      <c r="J516" s="12" t="str">
        <f>IFERROR(__xludf.DUMMYFUNCTION("""COMPUTED_VALUE"""),"English")</f>
        <v>English</v>
      </c>
      <c r="K516" s="13">
        <f>IFERROR(__xludf.DUMMYFUNCTION("""COMPUTED_VALUE"""),44427.0)</f>
        <v>44427</v>
      </c>
      <c r="L516" s="14" t="str">
        <f>IFERROR(__xludf.DUMMYFUNCTION("""COMPUTED_VALUE"""),"https://masterplan.com/courses/schluss-mit-nettigkeiten")</f>
        <v>https://masterplan.com/courses/schluss-mit-nettigkeiten</v>
      </c>
    </row>
    <row r="517">
      <c r="A517" s="15" t="str">
        <f>IFERROR(__xludf.DUMMYFUNCTION("""COMPUTED_VALUE"""),"Warum gibt es so wenige weibliche Führungskräfte?")</f>
        <v>Warum gibt es so wenige weibliche Führungskräfte?</v>
      </c>
      <c r="B517" s="16" t="str">
        <f>IFERROR(__xludf.DUMMYFUNCTION("""COMPUTED_VALUE"""),"Why We Have Too Few Women Leaders")</f>
        <v>Why We Have Too Few Women Leaders</v>
      </c>
      <c r="C517" s="17" t="str">
        <f>IFERROR(__xludf.DUMMYFUNCTION("""COMPUTED_VALUE"""),"Wir haben zwar wichtige Fortschritte gemacht, aber es erreichen immer noch weniger Frauen als Männer Vorstandspositionen. Sheryl Sandberg, COO bei Facebook, erklärt die Gründe dafür und gibt drei wichtige Tipps für Frauen, die die Karriereleiter erklimmen"&amp;" wollen.")</f>
        <v>Wir haben zwar wichtige Fortschritte gemacht, aber es erreichen immer noch weniger Frauen als Männer Vorstandspositionen. Sheryl Sandberg, COO bei Facebook, erklärt die Gründe dafür und gibt drei wichtige Tipps für Frauen, die die Karriereleiter erklimmen wollen.</v>
      </c>
      <c r="D517" s="17" t="str">
        <f>IFERROR(__xludf.DUMMYFUNCTION("""COMPUTED_VALUE"""),"Despite the positive strides we've made in the last decades, fewer women than men continue to reach the top of their professions. Facebook COO Sheryl Sandberg has a few ideas about why – and offers three powerful pieces of advice to women aiming for the C"&amp;"-suite.")</f>
        <v>Despite the positive strides we've made in the last decades, fewer women than men continue to reach the top of their professions. Facebook COO Sheryl Sandberg has a few ideas about why – and offers three powerful pieces of advice to women aiming for the C-suite.</v>
      </c>
      <c r="E517" s="9" t="str">
        <f>IFERROR(__xludf.DUMMYFUNCTION("""COMPUTED_VALUE"""),"Global Citizenship")</f>
        <v>Global Citizenship</v>
      </c>
      <c r="F517" s="19" t="str">
        <f>IFERROR(__xludf.DUMMYFUNCTION("""COMPUTED_VALUE"""),"TED - Sheryl Sandberg")</f>
        <v>TED - Sheryl Sandberg</v>
      </c>
      <c r="G517" s="20">
        <f>IFERROR(__xludf.DUMMYFUNCTION("""COMPUTED_VALUE"""),17.0)</f>
        <v>17</v>
      </c>
      <c r="H517" s="20">
        <f>IFERROR(__xludf.DUMMYFUNCTION("""COMPUTED_VALUE"""),4.0)</f>
        <v>4</v>
      </c>
      <c r="I517" s="21" t="str">
        <f>IFERROR(__xludf.DUMMYFUNCTION("""COMPUTED_VALUE"""),"English, German")</f>
        <v>English, German</v>
      </c>
      <c r="J517" s="21" t="str">
        <f>IFERROR(__xludf.DUMMYFUNCTION("""COMPUTED_VALUE"""),"English")</f>
        <v>English</v>
      </c>
      <c r="K517" s="22">
        <f>IFERROR(__xludf.DUMMYFUNCTION("""COMPUTED_VALUE"""),44427.0)</f>
        <v>44427</v>
      </c>
      <c r="L517" s="23" t="str">
        <f>IFERROR(__xludf.DUMMYFUNCTION("""COMPUTED_VALUE"""),"https://masterplan.com/courses/warum-gibt-es-so-wenige-weibliche-fuehrungskraefte")</f>
        <v>https://masterplan.com/courses/warum-gibt-es-so-wenige-weibliche-fuehrungskraefte</v>
      </c>
    </row>
    <row r="518">
      <c r="A518" s="6" t="str">
        <f>IFERROR(__xludf.DUMMYFUNCTION("""COMPUTED_VALUE"""),"Schaue beim Einstellen über den Tellerrand hinaus")</f>
        <v>Schaue beim Einstellen über den Tellerrand hinaus</v>
      </c>
      <c r="B518" s="7" t="str">
        <f>IFERROR(__xludf.DUMMYFUNCTION("""COMPUTED_VALUE"""),"Why You Should Look to Hire a ""Scrapper""")</f>
        <v>Why You Should Look to Hire a "Scrapper"</v>
      </c>
      <c r="C518" s="8" t="str">
        <f>IFERROR(__xludf.DUMMYFUNCTION("""COMPUTED_VALUE"""),"Vor die Wahl gestellt zwischen Bewerbenden mit einem perfekten Lebenslauf und denen, die sich durch Schwierigkeiten gekämpft haben, sagt die Personalleiterin Regina Hartley: ""Stellt die Kämpfenden ein."" Die, die resilient sind, haben die Fähigkeit sich "&amp;"anzupassen.")</f>
        <v>Vor die Wahl gestellt zwischen Bewerbenden mit einem perfekten Lebenslauf und denen, die sich durch Schwierigkeiten gekämpft haben, sagt die Personalleiterin Regina Hartley: "Stellt die Kämpfenden ein." Die, die resilient sind, haben die Fähigkeit sich anzupassen.</v>
      </c>
      <c r="D518" s="8" t="str">
        <f>IFERROR(__xludf.DUMMYFUNCTION("""COMPUTED_VALUE"""),"Given the choice between a job candidate with a perfect resume and one who has fought through difficulty, HR exec Regina Hartley says, ""Hire the Scrapper."" Those who flourish in the darkest of spaces are empowered with the grit to persist in an ever-cha"&amp;"nging workplace.")</f>
        <v>Given the choice between a job candidate with a perfect resume and one who has fought through difficulty, HR exec Regina Hartley says, "Hire the Scrapper." Those who flourish in the darkest of spaces are empowered with the grit to persist in an ever-changing workplace.</v>
      </c>
      <c r="E518" s="9" t="str">
        <f>IFERROR(__xludf.DUMMYFUNCTION("""COMPUTED_VALUE"""),"Global Citizenship")</f>
        <v>Global Citizenship</v>
      </c>
      <c r="F518" s="10" t="str">
        <f>IFERROR(__xludf.DUMMYFUNCTION("""COMPUTED_VALUE"""),"TED - Regina Hartley")</f>
        <v>TED - Regina Hartley</v>
      </c>
      <c r="G518" s="11">
        <f>IFERROR(__xludf.DUMMYFUNCTION("""COMPUTED_VALUE"""),12.0)</f>
        <v>12</v>
      </c>
      <c r="H518" s="11">
        <f>IFERROR(__xludf.DUMMYFUNCTION("""COMPUTED_VALUE"""),4.0)</f>
        <v>4</v>
      </c>
      <c r="I518" s="12" t="str">
        <f>IFERROR(__xludf.DUMMYFUNCTION("""COMPUTED_VALUE"""),"English, German")</f>
        <v>English, German</v>
      </c>
      <c r="J518" s="12" t="str">
        <f>IFERROR(__xludf.DUMMYFUNCTION("""COMPUTED_VALUE"""),"English")</f>
        <v>English</v>
      </c>
      <c r="K518" s="13">
        <f>IFERROR(__xludf.DUMMYFUNCTION("""COMPUTED_VALUE"""),44427.0)</f>
        <v>44427</v>
      </c>
      <c r="L518" s="14" t="str">
        <f>IFERROR(__xludf.DUMMYFUNCTION("""COMPUTED_VALUE"""),"https://masterplan.com/courses/schaue-beim-einstellen-ueber-den-tellerrand-hinaus")</f>
        <v>https://masterplan.com/courses/schaue-beim-einstellen-ueber-den-tellerrand-hinaus</v>
      </c>
    </row>
    <row r="519">
      <c r="A519" s="15" t="str">
        <f>IFERROR(__xludf.DUMMYFUNCTION("""COMPUTED_VALUE"""),"Wie Fairness Unternehmen optimiert")</f>
        <v>Wie Fairness Unternehmen optimiert</v>
      </c>
      <c r="B519" s="16" t="str">
        <f>IFERROR(__xludf.DUMMYFUNCTION("""COMPUTED_VALUE"""),"How Fairness Makes Companies Work Better")</f>
        <v>How Fairness Makes Companies Work Better</v>
      </c>
      <c r="C519" s="17" t="str">
        <f>IFERROR(__xludf.DUMMYFUNCTION("""COMPUTED_VALUE"""),"Ungerechtigkeit kann unser Denken beeinflussen. Man wird nicht zu einer Veranstaltung eingeladen oder man wird für einen Fehler bestraft. Marco Alverà erklärt, warum eine Kultur der Fairness am Arbeitsplatz zu zufriedeneren Mitarbeitenden und besseren Erg"&amp;"ebnissen führt.")</f>
        <v>Ungerechtigkeit kann unser Denken beeinflussen. Man wird nicht zu einer Veranstaltung eingeladen oder man wird für einen Fehler bestraft. Marco Alverà erklärt, warum eine Kultur der Fairness am Arbeitsplatz zu zufriedeneren Mitarbeitenden und besseren Ergebnissen führt.</v>
      </c>
      <c r="D519" s="17" t="str">
        <f>IFERROR(__xludf.DUMMYFUNCTION("""COMPUTED_VALUE"""),"Unfairness – whether it's not getting invited to something or being punished for an honest mistake – can mess with our thinking. Join Marco Alverà as he shares why creating a culture of fairness at work makes for happier employees and better results.")</f>
        <v>Unfairness – whether it's not getting invited to something or being punished for an honest mistake – can mess with our thinking. Join Marco Alverà as he shares why creating a culture of fairness at work makes for happier employees and better results.</v>
      </c>
      <c r="E519" s="26" t="str">
        <f>IFERROR(__xludf.DUMMYFUNCTION("""COMPUTED_VALUE"""),"Collaboration and Leadership")</f>
        <v>Collaboration and Leadership</v>
      </c>
      <c r="F519" s="19" t="str">
        <f>IFERROR(__xludf.DUMMYFUNCTION("""COMPUTED_VALUE"""),"TED - Marco Alverà")</f>
        <v>TED - Marco Alverà</v>
      </c>
      <c r="G519" s="20">
        <f>IFERROR(__xludf.DUMMYFUNCTION("""COMPUTED_VALUE"""),16.0)</f>
        <v>16</v>
      </c>
      <c r="H519" s="20">
        <f>IFERROR(__xludf.DUMMYFUNCTION("""COMPUTED_VALUE"""),4.0)</f>
        <v>4</v>
      </c>
      <c r="I519" s="21" t="str">
        <f>IFERROR(__xludf.DUMMYFUNCTION("""COMPUTED_VALUE"""),"English, German")</f>
        <v>English, German</v>
      </c>
      <c r="J519" s="21" t="str">
        <f>IFERROR(__xludf.DUMMYFUNCTION("""COMPUTED_VALUE"""),"English")</f>
        <v>English</v>
      </c>
      <c r="K519" s="22">
        <f>IFERROR(__xludf.DUMMYFUNCTION("""COMPUTED_VALUE"""),44426.0)</f>
        <v>44426</v>
      </c>
      <c r="L519" s="23" t="str">
        <f>IFERROR(__xludf.DUMMYFUNCTION("""COMPUTED_VALUE"""),"https://masterplan.com/courses/wie-fairness-unternehmen-optimiert")</f>
        <v>https://masterplan.com/courses/wie-fairness-unternehmen-optimiert</v>
      </c>
    </row>
    <row r="520">
      <c r="A520" s="6" t="str">
        <f>IFERROR(__xludf.DUMMYFUNCTION("""COMPUTED_VALUE"""),"Du fühlst dich fehl am Platz? Das hilft dagegen")</f>
        <v>Du fühlst dich fehl am Platz? Das hilft dagegen</v>
      </c>
      <c r="B520" s="7" t="str">
        <f>IFERROR(__xludf.DUMMYFUNCTION("""COMPUTED_VALUE"""),"How to Overcome Imposter Syndrome")</f>
        <v>How to Overcome Imposter Syndrome</v>
      </c>
      <c r="C520" s="8" t="str">
        <f>IFERROR(__xludf.DUMMYFUNCTION("""COMPUTED_VALUE"""),"Hast du jemals an deinen eigenen Fähigkeiten gezweifelt? Laut CEO Mike Cannon-Brookes bist du nicht allein. In diesem Kurs bekommst du Tipps, wie du selbstbewusster auftreten kannst und wie dir das ""Hochstaplersyndrom"" auf dem Weg zum Erfolg helfen kann"&amp;".")</f>
        <v>Hast du jemals an deinen eigenen Fähigkeiten gezweifelt? Laut CEO Mike Cannon-Brookes bist du nicht allein. In diesem Kurs bekommst du Tipps, wie du selbstbewusster auftreten kannst und wie dir das "Hochstaplersyndrom" auf dem Weg zum Erfolg helfen kann.</v>
      </c>
      <c r="D520" s="8" t="str">
        <f>IFERROR(__xludf.DUMMYFUNCTION("""COMPUTED_VALUE"""),"Have you ever doubted your abilities? According to CEO Mike Cannon-Brookes, you're not alone. In this course, pick up tips on how to feel more confident and learn how ""impostor syndrome"" can actually help you in your path to success.")</f>
        <v>Have you ever doubted your abilities? According to CEO Mike Cannon-Brookes, you're not alone. In this course, pick up tips on how to feel more confident and learn how "impostor syndrome" can actually help you in your path to success.</v>
      </c>
      <c r="E520" s="24" t="str">
        <f>IFERROR(__xludf.DUMMYFUNCTION("""COMPUTED_VALUE"""),"Emotional Intelligence")</f>
        <v>Emotional Intelligence</v>
      </c>
      <c r="F520" s="10" t="str">
        <f>IFERROR(__xludf.DUMMYFUNCTION("""COMPUTED_VALUE"""),"TED - Mike Cannon-Brookes")</f>
        <v>TED - Mike Cannon-Brookes</v>
      </c>
      <c r="G520" s="11">
        <f>IFERROR(__xludf.DUMMYFUNCTION("""COMPUTED_VALUE"""),20.0)</f>
        <v>20</v>
      </c>
      <c r="H520" s="11">
        <f>IFERROR(__xludf.DUMMYFUNCTION("""COMPUTED_VALUE"""),8.0)</f>
        <v>8</v>
      </c>
      <c r="I520" s="12" t="str">
        <f>IFERROR(__xludf.DUMMYFUNCTION("""COMPUTED_VALUE"""),"English, German")</f>
        <v>English, German</v>
      </c>
      <c r="J520" s="12" t="str">
        <f>IFERROR(__xludf.DUMMYFUNCTION("""COMPUTED_VALUE"""),"English")</f>
        <v>English</v>
      </c>
      <c r="K520" s="13">
        <f>IFERROR(__xludf.DUMMYFUNCTION("""COMPUTED_VALUE"""),44426.0)</f>
        <v>44426</v>
      </c>
      <c r="L520" s="14" t="str">
        <f>IFERROR(__xludf.DUMMYFUNCTION("""COMPUTED_VALUE"""),"https://masterplan.com/courses/du-fuehlst-dich-fehl-am-platz-das-hilft-dagegen")</f>
        <v>https://masterplan.com/courses/du-fuehlst-dich-fehl-am-platz-das-hilft-dagegen</v>
      </c>
    </row>
    <row r="521">
      <c r="A521" s="15" t="str">
        <f>IFERROR(__xludf.DUMMYFUNCTION("""COMPUTED_VALUE"""),"Wie Unstimmigkeiten Produktivität optimieren")</f>
        <v>Wie Unstimmigkeiten Produktivität optimieren</v>
      </c>
      <c r="B521" s="16" t="str">
        <f>IFERROR(__xludf.DUMMYFUNCTION("""COMPUTED_VALUE"""),"Productive Disagreement and Finding Common Ground")</f>
        <v>Productive Disagreement and Finding Common Ground</v>
      </c>
      <c r="C521" s="17" t="str">
        <f>IFERROR(__xludf.DUMMYFUNCTION("""COMPUTED_VALUE"""),"Kommunikation ist nicht immer einfach - wir alle waren schon in Situationen, in denen wir uns entweder nicht gut genug ausdrücken oder die Meinungen eines anderen nicht tolerieren konnten. In diesem Kurs erfährst du, wie du deine Worte effektiver einsetze"&amp;"n kannst.")</f>
        <v>Kommunikation ist nicht immer einfach - wir alle waren schon in Situationen, in denen wir uns entweder nicht gut genug ausdrücken oder die Meinungen eines anderen nicht tolerieren konnten. In diesem Kurs erfährst du, wie du deine Worte effektiver einsetzen kannst.</v>
      </c>
      <c r="D521" s="17" t="str">
        <f>IFERROR(__xludf.DUMMYFUNCTION("""COMPUTED_VALUE"""),"Communication can be tricky – we've all found ourselves struggling to either deliver what we want to say, or tolerate what someone else has said. In this course, you'll learn tips and tricks to help you use your words more effectively and navigate convers"&amp;"ations better.")</f>
        <v>Communication can be tricky – we've all found ourselves struggling to either deliver what we want to say, or tolerate what someone else has said. In this course, you'll learn tips and tricks to help you use your words more effectively and navigate conversations better.</v>
      </c>
      <c r="E521" s="24" t="str">
        <f>IFERROR(__xludf.DUMMYFUNCTION("""COMPUTED_VALUE"""),"Emotional Intelligence")</f>
        <v>Emotional Intelligence</v>
      </c>
      <c r="F521" s="19" t="str">
        <f>IFERROR(__xludf.DUMMYFUNCTION("""COMPUTED_VALUE"""),"TED - Julia Dhar")</f>
        <v>TED - Julia Dhar</v>
      </c>
      <c r="G521" s="20">
        <f>IFERROR(__xludf.DUMMYFUNCTION("""COMPUTED_VALUE"""),27.0)</f>
        <v>27</v>
      </c>
      <c r="H521" s="20">
        <f>IFERROR(__xludf.DUMMYFUNCTION("""COMPUTED_VALUE"""),11.0)</f>
        <v>11</v>
      </c>
      <c r="I521" s="21" t="str">
        <f>IFERROR(__xludf.DUMMYFUNCTION("""COMPUTED_VALUE"""),"English, German")</f>
        <v>English, German</v>
      </c>
      <c r="J521" s="21" t="str">
        <f>IFERROR(__xludf.DUMMYFUNCTION("""COMPUTED_VALUE"""),"English")</f>
        <v>English</v>
      </c>
      <c r="K521" s="22">
        <f>IFERROR(__xludf.DUMMYFUNCTION("""COMPUTED_VALUE"""),44426.0)</f>
        <v>44426</v>
      </c>
      <c r="L521" s="23" t="str">
        <f>IFERROR(__xludf.DUMMYFUNCTION("""COMPUTED_VALUE"""),"https://masterplan.com/courses/wie-unstimmigkeiten-produktivitaet-optimieren")</f>
        <v>https://masterplan.com/courses/wie-unstimmigkeiten-produktivitaet-optimieren</v>
      </c>
    </row>
    <row r="522">
      <c r="A522" s="6" t="str">
        <f>IFERROR(__xludf.DUMMYFUNCTION("""COMPUTED_VALUE"""),"Mit Ehrlichkeit und Empathie besser kommunizieren")</f>
        <v>Mit Ehrlichkeit und Empathie besser kommunizieren</v>
      </c>
      <c r="B522" s="7" t="str">
        <f>IFERROR(__xludf.DUMMYFUNCTION("""COMPUTED_VALUE"""),"Better Communication Through Honesty and Listening")</f>
        <v>Better Communication Through Honesty and Listening</v>
      </c>
      <c r="C522" s="8" t="str">
        <f>IFERROR(__xludf.DUMMYFUNCTION("""COMPUTED_VALUE"""),"Die Säulen der Kommunikation sind bewusstes Zuhören, ehrliche Unterhaltungen und gegenseitiges Verständnis. In diesem Kurs setzt du dich mit deinen eigenen Kommunikationsweisen auseinander und erfährst, wie du besseres Verständnis erlangst.")</f>
        <v>Die Säulen der Kommunikation sind bewusstes Zuhören, ehrliche Unterhaltungen und gegenseitiges Verständnis. In diesem Kurs setzt du dich mit deinen eigenen Kommunikationsweisen auseinander und erfährst, wie du besseres Verständnis erlangst.</v>
      </c>
      <c r="D522" s="8" t="str">
        <f>IFERROR(__xludf.DUMMYFUNCTION("""COMPUTED_VALUE"""),"What are the pillars of communication? Conscious listening, honest conversations, and understanding each other. This course will challenge you to reflect on your journey with communication and help you share a dialogue with others to reach a common unders"&amp;"tanding.")</f>
        <v>What are the pillars of communication? Conscious listening, honest conversations, and understanding each other. This course will challenge you to reflect on your journey with communication and help you share a dialogue with others to reach a common understanding.</v>
      </c>
      <c r="E522" s="28" t="str">
        <f>IFERROR(__xludf.DUMMYFUNCTION("""COMPUTED_VALUE"""),"Communication")</f>
        <v>Communication</v>
      </c>
      <c r="F522" s="10" t="str">
        <f>IFERROR(__xludf.DUMMYFUNCTION("""COMPUTED_VALUE"""),"TED")</f>
        <v>TED</v>
      </c>
      <c r="G522" s="11">
        <f>IFERROR(__xludf.DUMMYFUNCTION("""COMPUTED_VALUE"""),24.0)</f>
        <v>24</v>
      </c>
      <c r="H522" s="11">
        <f>IFERROR(__xludf.DUMMYFUNCTION("""COMPUTED_VALUE"""),11.0)</f>
        <v>11</v>
      </c>
      <c r="I522" s="12" t="str">
        <f>IFERROR(__xludf.DUMMYFUNCTION("""COMPUTED_VALUE"""),"English, German")</f>
        <v>English, German</v>
      </c>
      <c r="J522" s="12" t="str">
        <f>IFERROR(__xludf.DUMMYFUNCTION("""COMPUTED_VALUE"""),"English")</f>
        <v>English</v>
      </c>
      <c r="K522" s="13">
        <f>IFERROR(__xludf.DUMMYFUNCTION("""COMPUTED_VALUE"""),44426.0)</f>
        <v>44426</v>
      </c>
      <c r="L522" s="14" t="str">
        <f>IFERROR(__xludf.DUMMYFUNCTION("""COMPUTED_VALUE"""),"https://masterplan.com/courses/mit-ehrlichkeit-und-empathie-besser-kommunizieren")</f>
        <v>https://masterplan.com/courses/mit-ehrlichkeit-und-empathie-besser-kommunizieren</v>
      </c>
    </row>
    <row r="523">
      <c r="A523" s="15" t="str">
        <f>IFERROR(__xludf.DUMMYFUNCTION("""COMPUTED_VALUE"""),"5 Schritte gegen Streit am Arbeitsplatz")</f>
        <v>5 Schritte gegen Streit am Arbeitsplatz</v>
      </c>
      <c r="B523" s="16" t="str">
        <f>IFERROR(__xludf.DUMMYFUNCTION("""COMPUTED_VALUE"""),"5 Steps for Avoiding Workplace Drama")</f>
        <v>5 Steps for Avoiding Workplace Drama</v>
      </c>
      <c r="C523" s="17" t="str">
        <f>IFERROR(__xludf.DUMMYFUNCTION("""COMPUTED_VALUE"""),"Menschen handeln nicht immer rational. Wenn wir unseren Stress bei anderen abladen oder Klatsch und Tratsch verbreiten, zerstören wir unser Arbeitsumfeld. In diesem TED-Talk zeigt die Community-Leiterin Anastasia Penright fünf Schritte, wie du Streit verm"&amp;"eidest.")</f>
        <v>Menschen handeln nicht immer rational. Wenn wir unseren Stress bei anderen abladen oder Klatsch und Tratsch verbreiten, zerstören wir unser Arbeitsumfeld. In diesem TED-Talk zeigt die Community-Leiterin Anastasia Penright fünf Schritte, wie du Streit vermeidest.</v>
      </c>
      <c r="D523" s="17" t="str">
        <f>IFERROR(__xludf.DUMMYFUNCTION("""COMPUTED_VALUE"""),"People do not always act rationally. When we unload our stress on each other, or spread gossip, we bring down our workplace environments. In this TED Talk, community leader Anastasia Penright shows you five steps for distancing yourself from drama and kee"&amp;"ping it away.")</f>
        <v>People do not always act rationally. When we unload our stress on each other, or spread gossip, we bring down our workplace environments. In this TED Talk, community leader Anastasia Penright shows you five steps for distancing yourself from drama and keeping it away.</v>
      </c>
      <c r="E523" s="24" t="str">
        <f>IFERROR(__xludf.DUMMYFUNCTION("""COMPUTED_VALUE"""),"Emotional Intelligence")</f>
        <v>Emotional Intelligence</v>
      </c>
      <c r="F523" s="19" t="str">
        <f>IFERROR(__xludf.DUMMYFUNCTION("""COMPUTED_VALUE"""),"TED - Anastasia Penright")</f>
        <v>TED - Anastasia Penright</v>
      </c>
      <c r="G523" s="20">
        <f>IFERROR(__xludf.DUMMYFUNCTION("""COMPUTED_VALUE"""),18.0)</f>
        <v>18</v>
      </c>
      <c r="H523" s="20">
        <f>IFERROR(__xludf.DUMMYFUNCTION("""COMPUTED_VALUE"""),4.0)</f>
        <v>4</v>
      </c>
      <c r="I523" s="21" t="str">
        <f>IFERROR(__xludf.DUMMYFUNCTION("""COMPUTED_VALUE"""),"English, German")</f>
        <v>English, German</v>
      </c>
      <c r="J523" s="21" t="str">
        <f>IFERROR(__xludf.DUMMYFUNCTION("""COMPUTED_VALUE"""),"English")</f>
        <v>English</v>
      </c>
      <c r="K523" s="22">
        <f>IFERROR(__xludf.DUMMYFUNCTION("""COMPUTED_VALUE"""),44420.0)</f>
        <v>44420</v>
      </c>
      <c r="L523" s="23" t="str">
        <f>IFERROR(__xludf.DUMMYFUNCTION("""COMPUTED_VALUE"""),"https://masterplan.com/courses/fuenf-schritte-gegen-streit-am-arbeitsplatz")</f>
        <v>https://masterplan.com/courses/fuenf-schritte-gegen-streit-am-arbeitsplatz</v>
      </c>
    </row>
    <row r="524">
      <c r="A524" s="6" t="str">
        <f>IFERROR(__xludf.DUMMYFUNCTION("""COMPUTED_VALUE"""),"So erkennst du irreführende Statistiken")</f>
        <v>So erkennst du irreführende Statistiken</v>
      </c>
      <c r="B524" s="7" t="str">
        <f>IFERROR(__xludf.DUMMYFUNCTION("""COMPUTED_VALUE"""),"How to Spot (and Avoid) Misleading Statistics")</f>
        <v>How to Spot (and Avoid) Misleading Statistics</v>
      </c>
      <c r="C524" s="8" t="str">
        <f>IFERROR(__xludf.DUMMYFUNCTION("""COMPUTED_VALUE"""),"Statistiken sind so alltäglich, dass wir sie in unseren Büros und in unseren Nachrichten erwarten. Aber kann man eine zuverlässige Statistik von einer manipulierten unterscheiden? Gar nicht so einfach! Hier findest du Tipps, wie du Statistiken präzise ana"&amp;"lysieren kannst.")</f>
        <v>Statistiken sind so alltäglich, dass wir sie in unseren Büros und in unseren Nachrichten erwarten. Aber kann man eine zuverlässige Statistik von einer manipulierten unterscheiden? Gar nicht so einfach! Hier findest du Tipps, wie du Statistiken präzise analysieren kannst.</v>
      </c>
      <c r="D524" s="8" t="str">
        <f>IFERROR(__xludf.DUMMYFUNCTION("""COMPUTED_VALUE"""),"Statistics are so common nowadays, that we've come to expect them in our offices and on our news feeds. But can you tell a reliable statistic from one that's been manipulated? It's not as easy as you think! Learn tips for reading statistics more deeply – "&amp;"and accurately.")</f>
        <v>Statistics are so common nowadays, that we've come to expect them in our offices and on our news feeds. But can you tell a reliable statistic from one that's been manipulated? It's not as easy as you think! Learn tips for reading statistics more deeply – and accurately.</v>
      </c>
      <c r="E524" s="29" t="str">
        <f>IFERROR(__xludf.DUMMYFUNCTION("""COMPUTED_VALUE"""),"Thinking and Deciding Clearly")</f>
        <v>Thinking and Deciding Clearly</v>
      </c>
      <c r="F524" s="10" t="str">
        <f>IFERROR(__xludf.DUMMYFUNCTION("""COMPUTED_VALUE"""),"TED - Mona Chalabi")</f>
        <v>TED - Mona Chalabi</v>
      </c>
      <c r="G524" s="11">
        <f>IFERROR(__xludf.DUMMYFUNCTION("""COMPUTED_VALUE"""),19.0)</f>
        <v>19</v>
      </c>
      <c r="H524" s="11">
        <f>IFERROR(__xludf.DUMMYFUNCTION("""COMPUTED_VALUE"""),8.0)</f>
        <v>8</v>
      </c>
      <c r="I524" s="12" t="str">
        <f>IFERROR(__xludf.DUMMYFUNCTION("""COMPUTED_VALUE"""),"English, German")</f>
        <v>English, German</v>
      </c>
      <c r="J524" s="12" t="str">
        <f>IFERROR(__xludf.DUMMYFUNCTION("""COMPUTED_VALUE"""),"English")</f>
        <v>English</v>
      </c>
      <c r="K524" s="13">
        <f>IFERROR(__xludf.DUMMYFUNCTION("""COMPUTED_VALUE"""),44420.0)</f>
        <v>44420</v>
      </c>
      <c r="L524" s="14" t="str">
        <f>IFERROR(__xludf.DUMMYFUNCTION("""COMPUTED_VALUE"""),"https://masterplan.com/courses/so-erkennst-du-irrefuehrende-statistiken")</f>
        <v>https://masterplan.com/courses/so-erkennst-du-irrefuehrende-statistiken</v>
      </c>
    </row>
    <row r="525">
      <c r="A525" s="15" t="str">
        <f>IFERROR(__xludf.DUMMYFUNCTION("""COMPUTED_VALUE"""),"Was wir aus Wissenschaft und Kunst lernen können")</f>
        <v>Was wir aus Wissenschaft und Kunst lernen können</v>
      </c>
      <c r="B525" s="16" t="str">
        <f>IFERROR(__xludf.DUMMYFUNCTION("""COMPUTED_VALUE"""),"Lessons in Creativity From Science and the Arts")</f>
        <v>Lessons in Creativity From Science and the Arts</v>
      </c>
      <c r="C525" s="17" t="str">
        <f>IFERROR(__xludf.DUMMYFUNCTION("""COMPUTED_VALUE"""),"Wenn einem gesagt wird, man solle ""kreativ sein"", kann das überfordern. Wie können wir also unsere Kreativität fördern, ohne sie zu erzwingen? Erfahre, wie Wissenschaftler:innen und Künstler:innen Kreativität in ihre Arbeit einbringen - und wie auch du "&amp;"das kannst!")</f>
        <v>Wenn einem gesagt wird, man solle "kreativ sein", kann das überfordern. Wie können wir also unsere Kreativität fördern, ohne sie zu erzwingen? Erfahre, wie Wissenschaftler:innen und Künstler:innen Kreativität in ihre Arbeit einbringen - und wie auch du das kannst!</v>
      </c>
      <c r="D525" s="17" t="str">
        <f>IFERROR(__xludf.DUMMYFUNCTION("""COMPUTED_VALUE"""),"When told to ""be creative,"" most of us freeze up, instantly losing all our original thinking. So how do we get our creative juices flowing without forcing them? Learn how inventors and artists fuse the art and science of creativity into their work, and "&amp;"how you can too!")</f>
        <v>When told to "be creative," most of us freeze up, instantly losing all our original thinking. So how do we get our creative juices flowing without forcing them? Learn how inventors and artists fuse the art and science of creativity into their work, and how you can too!</v>
      </c>
      <c r="E525" s="18" t="str">
        <f>IFERROR(__xludf.DUMMYFUNCTION("""COMPUTED_VALUE"""),"Creativity and Innovation")</f>
        <v>Creativity and Innovation</v>
      </c>
      <c r="F525" s="19" t="str">
        <f>IFERROR(__xludf.DUMMYFUNCTION("""COMPUTED_VALUE"""),"TED - Joseph Gordon-Levitt")</f>
        <v>TED - Joseph Gordon-Levitt</v>
      </c>
      <c r="G525" s="20">
        <f>IFERROR(__xludf.DUMMYFUNCTION("""COMPUTED_VALUE"""),21.0)</f>
        <v>21</v>
      </c>
      <c r="H525" s="20">
        <f>IFERROR(__xludf.DUMMYFUNCTION("""COMPUTED_VALUE"""),8.0)</f>
        <v>8</v>
      </c>
      <c r="I525" s="21" t="str">
        <f>IFERROR(__xludf.DUMMYFUNCTION("""COMPUTED_VALUE"""),"English, German")</f>
        <v>English, German</v>
      </c>
      <c r="J525" s="21" t="str">
        <f>IFERROR(__xludf.DUMMYFUNCTION("""COMPUTED_VALUE"""),"English")</f>
        <v>English</v>
      </c>
      <c r="K525" s="22">
        <f>IFERROR(__xludf.DUMMYFUNCTION("""COMPUTED_VALUE"""),44414.0)</f>
        <v>44414</v>
      </c>
      <c r="L525" s="23" t="str">
        <f>IFERROR(__xludf.DUMMYFUNCTION("""COMPUTED_VALUE"""),"https://masterplan.com/courses/was-wir-aus-wissenschaft-und-kunst-lernen-koennen")</f>
        <v>https://masterplan.com/courses/was-wir-aus-wissenschaft-und-kunst-lernen-koennen</v>
      </c>
    </row>
    <row r="526">
      <c r="A526" s="6" t="str">
        <f>IFERROR(__xludf.DUMMYFUNCTION("""COMPUTED_VALUE"""),"Was kann man aus Abkürzungen lernen?")</f>
        <v>Was kann man aus Abkürzungen lernen?</v>
      </c>
      <c r="B526" s="7" t="str">
        <f>IFERROR(__xludf.DUMMYFUNCTION("""COMPUTED_VALUE"""),"What Can We Learn From Shortcuts?")</f>
        <v>What Can We Learn From Shortcuts?</v>
      </c>
      <c r="C526" s="8" t="str">
        <f>IFERROR(__xludf.DUMMYFUNCTION("""COMPUTED_VALUE"""),"Laut Tom Hulme ist ein entscheidendes Element für den geschäftlichen Erfolg das ""Einfühlungsvermögen in die Wünsche deiner Kundschaft"". In diesem TED-Talk lernst du, warum Design am besten funktioniert, wenn die Bedürfnisse der Nutzer:innen berücksichti"&amp;"gt werden.")</f>
        <v>Laut Tom Hulme ist ein entscheidendes Element für den geschäftlichen Erfolg das "Einfühlungsvermögen in die Wünsche deiner Kundschaft". In diesem TED-Talk lernst du, warum Design am besten funktioniert, wenn die Bedürfnisse der Nutzer:innen berücksichtigt werden.</v>
      </c>
      <c r="D526" s="8" t="str">
        <f>IFERROR(__xludf.DUMMYFUNCTION("""COMPUTED_VALUE"""),"According to designer Tom Hulme, a critical element of business success is having ""empathy for what your customers want."" In this TED Talk, he teaches you three insightful examples to illustrate why design works best when the needs of its users are take"&amp;"n into account.")</f>
        <v>According to designer Tom Hulme, a critical element of business success is having "empathy for what your customers want." In this TED Talk, he teaches you three insightful examples to illustrate why design works best when the needs of its users are taken into account.</v>
      </c>
      <c r="E526" s="18" t="str">
        <f>IFERROR(__xludf.DUMMYFUNCTION("""COMPUTED_VALUE"""),"Creativity and Innovation")</f>
        <v>Creativity and Innovation</v>
      </c>
      <c r="F526" s="10" t="str">
        <f>IFERROR(__xludf.DUMMYFUNCTION("""COMPUTED_VALUE"""),"TED - Tom Hulme")</f>
        <v>TED - Tom Hulme</v>
      </c>
      <c r="G526" s="11">
        <f>IFERROR(__xludf.DUMMYFUNCTION("""COMPUTED_VALUE"""),10.0)</f>
        <v>10</v>
      </c>
      <c r="H526" s="11">
        <f>IFERROR(__xludf.DUMMYFUNCTION("""COMPUTED_VALUE"""),4.0)</f>
        <v>4</v>
      </c>
      <c r="I526" s="12" t="str">
        <f>IFERROR(__xludf.DUMMYFUNCTION("""COMPUTED_VALUE"""),"English, German")</f>
        <v>English, German</v>
      </c>
      <c r="J526" s="12" t="str">
        <f>IFERROR(__xludf.DUMMYFUNCTION("""COMPUTED_VALUE"""),"English")</f>
        <v>English</v>
      </c>
      <c r="K526" s="13">
        <f>IFERROR(__xludf.DUMMYFUNCTION("""COMPUTED_VALUE"""),44413.0)</f>
        <v>44413</v>
      </c>
      <c r="L526" s="14" t="str">
        <f>IFERROR(__xludf.DUMMYFUNCTION("""COMPUTED_VALUE"""),"https://masterplan.com/courses/was-kann-man-aus-abkuerzungen-lernen")</f>
        <v>https://masterplan.com/courses/was-kann-man-aus-abkuerzungen-lernen</v>
      </c>
    </row>
    <row r="527">
      <c r="A527" s="15" t="str">
        <f>IFERROR(__xludf.DUMMYFUNCTION("""COMPUTED_VALUE"""),"Was gutes Feedback so besonders macht ")</f>
        <v>Was gutes Feedback so besonders macht </v>
      </c>
      <c r="B527" s="16" t="str">
        <f>IFERROR(__xludf.DUMMYFUNCTION("""COMPUTED_VALUE"""),"The Secret to Giving Great Feedback")</f>
        <v>The Secret to Giving Great Feedback</v>
      </c>
      <c r="C527" s="17" t="str">
        <f>IFERROR(__xludf.DUMMYFUNCTION("""COMPUTED_VALUE"""),"Seit Jahrhunderten haben Menschen versucht, konstruktive Kritik zu äußern, aber irgendwie sind wir immer noch ziemlich schlecht darin. Die Kognitionspsychologin LeeAnn Renninger stellt eine wissenschaftlich erwiesene Methode vor, um effektives Feedback zu"&amp;" geben.")</f>
        <v>Seit Jahrhunderten haben Menschen versucht, konstruktive Kritik zu äußern, aber irgendwie sind wir immer noch ziemlich schlecht darin. Die Kognitionspsychologin LeeAnn Renninger stellt eine wissenschaftlich erwiesene Methode vor, um effektives Feedback zu geben.</v>
      </c>
      <c r="D527" s="17" t="str">
        <f>IFERROR(__xludf.DUMMYFUNCTION("""COMPUTED_VALUE"""),"Humans have been coming up with ways to give constructive criticism for centuries, but somehow we're still pretty terrible at it. Cognitive psychologist LeeAnn Renninger shares a scientifically proven method for giving effective feedback.")</f>
        <v>Humans have been coming up with ways to give constructive criticism for centuries, but somehow we're still pretty terrible at it. Cognitive psychologist LeeAnn Renninger shares a scientifically proven method for giving effective feedback.</v>
      </c>
      <c r="E527" s="28" t="str">
        <f>IFERROR(__xludf.DUMMYFUNCTION("""COMPUTED_VALUE"""),"Communication")</f>
        <v>Communication</v>
      </c>
      <c r="F527" s="19" t="str">
        <f>IFERROR(__xludf.DUMMYFUNCTION("""COMPUTED_VALUE"""),"TED - LeeAnn Renninger")</f>
        <v>TED - LeeAnn Renninger</v>
      </c>
      <c r="G527" s="20">
        <f>IFERROR(__xludf.DUMMYFUNCTION("""COMPUTED_VALUE"""),8.0)</f>
        <v>8</v>
      </c>
      <c r="H527" s="20">
        <f>IFERROR(__xludf.DUMMYFUNCTION("""COMPUTED_VALUE"""),4.0)</f>
        <v>4</v>
      </c>
      <c r="I527" s="21" t="str">
        <f>IFERROR(__xludf.DUMMYFUNCTION("""COMPUTED_VALUE"""),"English, German")</f>
        <v>English, German</v>
      </c>
      <c r="J527" s="21" t="str">
        <f>IFERROR(__xludf.DUMMYFUNCTION("""COMPUTED_VALUE"""),"English")</f>
        <v>English</v>
      </c>
      <c r="K527" s="22">
        <f>IFERROR(__xludf.DUMMYFUNCTION("""COMPUTED_VALUE"""),44413.0)</f>
        <v>44413</v>
      </c>
      <c r="L527" s="23" t="str">
        <f>IFERROR(__xludf.DUMMYFUNCTION("""COMPUTED_VALUE"""),"https://masterplan.com/courses/was-gutes-feedback-so-besonders-macht")</f>
        <v>https://masterplan.com/courses/was-gutes-feedback-so-besonders-macht</v>
      </c>
    </row>
    <row r="528">
      <c r="A528" s="6" t="str">
        <f>IFERROR(__xludf.DUMMYFUNCTION("""COMPUTED_VALUE"""),"Schaffe neue Möglichkeiten")</f>
        <v>Schaffe neue Möglichkeiten</v>
      </c>
      <c r="B528" s="7" t="str">
        <f>IFERROR(__xludf.DUMMYFUNCTION("""COMPUTED_VALUE"""),"Be an Opportunity Maker")</f>
        <v>Be an Opportunity Maker</v>
      </c>
      <c r="C528" s="8" t="str">
        <f>IFERROR(__xludf.DUMMYFUNCTION("""COMPUTED_VALUE"""),"Wir alle möchten mit unseren Talenten etwas in unserem Leben schaffen. Doch wo fängt man an? Autorin Kare Anderson erzählt von chronischer Schüchternheit und wie sie ihre Welt öffnete, indem sie anderen Menschen dabei half, ihre Talente sinnvoll zu nutzen"&amp;".")</f>
        <v>Wir alle möchten mit unseren Talenten etwas in unserem Leben schaffen. Doch wo fängt man an? Autorin Kare Anderson erzählt von chronischer Schüchternheit und wie sie ihre Welt öffnete, indem sie anderen Menschen dabei half, ihre Talente sinnvoll zu nutzen.</v>
      </c>
      <c r="D528" s="8" t="str">
        <f>IFERROR(__xludf.DUMMYFUNCTION("""COMPUTED_VALUE"""),"We all want to use our talents to create something meaningful with our lives. But how can we get started? Writer Kare Anderson shares her own story of chronic shyness, and how she opened up her world by helping other people use their own talents and passi"&amp;"ons.")</f>
        <v>We all want to use our talents to create something meaningful with our lives. But how can we get started? Writer Kare Anderson shares her own story of chronic shyness, and how she opened up her world by helping other people use their own talents and passions.</v>
      </c>
      <c r="E528" s="26" t="str">
        <f>IFERROR(__xludf.DUMMYFUNCTION("""COMPUTED_VALUE"""),"Collaboration and Leadership")</f>
        <v>Collaboration and Leadership</v>
      </c>
      <c r="F528" s="10" t="str">
        <f>IFERROR(__xludf.DUMMYFUNCTION("""COMPUTED_VALUE"""),"TED - Kare Anderson")</f>
        <v>TED - Kare Anderson</v>
      </c>
      <c r="G528" s="11">
        <f>IFERROR(__xludf.DUMMYFUNCTION("""COMPUTED_VALUE"""),11.0)</f>
        <v>11</v>
      </c>
      <c r="H528" s="11">
        <f>IFERROR(__xludf.DUMMYFUNCTION("""COMPUTED_VALUE"""),4.0)</f>
        <v>4</v>
      </c>
      <c r="I528" s="12" t="str">
        <f>IFERROR(__xludf.DUMMYFUNCTION("""COMPUTED_VALUE"""),"English, German")</f>
        <v>English, German</v>
      </c>
      <c r="J528" s="12" t="str">
        <f>IFERROR(__xludf.DUMMYFUNCTION("""COMPUTED_VALUE"""),"English")</f>
        <v>English</v>
      </c>
      <c r="K528" s="13">
        <f>IFERROR(__xludf.DUMMYFUNCTION("""COMPUTED_VALUE"""),44413.0)</f>
        <v>44413</v>
      </c>
      <c r="L528" s="14" t="str">
        <f>IFERROR(__xludf.DUMMYFUNCTION("""COMPUTED_VALUE"""),"https://masterplan.com/courses/schaffe-neue-moeglichkeiten")</f>
        <v>https://masterplan.com/courses/schaffe-neue-moeglichkeiten</v>
      </c>
    </row>
    <row r="529">
      <c r="A529" s="15" t="str">
        <f>IFERROR(__xludf.DUMMYFUNCTION("""COMPUTED_VALUE"""),"Schluss mit schlechten Meetings")</f>
        <v>Schluss mit schlechten Meetings</v>
      </c>
      <c r="B529" s="16" t="str">
        <f>IFERROR(__xludf.DUMMYFUNCTION("""COMPUTED_VALUE"""),"How to Save Yourself From Bad Meetings")</f>
        <v>How to Save Yourself From Bad Meetings</v>
      </c>
      <c r="C529" s="17" t="str">
        <f>IFERROR(__xludf.DUMMYFUNCTION("""COMPUTED_VALUE"""),"Eine Epidemie breitet sich in Unternehmen aus und führt zu ineffizienten und unerträglichen Meetings für Arbeitnehmende auf der ganzen Welt. Aber keine Sorge – David Grady hat einige Ideen, wie man dies stoppen kann!")</f>
        <v>Eine Epidemie breitet sich in Unternehmen aus und führt zu ineffizienten und unerträglichen Meetings für Arbeitnehmende auf der ganzen Welt. Aber keine Sorge – David Grady hat einige Ideen, wie man dies stoppen kann!</v>
      </c>
      <c r="D529" s="17" t="str">
        <f>IFERROR(__xludf.DUMMYFUNCTION("""COMPUTED_VALUE"""),"An epidemic is spreading across businesses, inflicting inefficient and intolerable meetings on workers all over the world. But don't worry – David Grady has some ideas on how to stop it.")</f>
        <v>An epidemic is spreading across businesses, inflicting inefficient and intolerable meetings on workers all over the world. But don't worry – David Grady has some ideas on how to stop it.</v>
      </c>
      <c r="E529" s="28" t="str">
        <f>IFERROR(__xludf.DUMMYFUNCTION("""COMPUTED_VALUE"""),"Communication")</f>
        <v>Communication</v>
      </c>
      <c r="F529" s="19" t="str">
        <f>IFERROR(__xludf.DUMMYFUNCTION("""COMPUTED_VALUE"""),"TED - David Grady")</f>
        <v>TED - David Grady</v>
      </c>
      <c r="G529" s="20">
        <f>IFERROR(__xludf.DUMMYFUNCTION("""COMPUTED_VALUE"""),8.0)</f>
        <v>8</v>
      </c>
      <c r="H529" s="20">
        <f>IFERROR(__xludf.DUMMYFUNCTION("""COMPUTED_VALUE"""),4.0)</f>
        <v>4</v>
      </c>
      <c r="I529" s="21" t="str">
        <f>IFERROR(__xludf.DUMMYFUNCTION("""COMPUTED_VALUE"""),"English, German")</f>
        <v>English, German</v>
      </c>
      <c r="J529" s="21" t="str">
        <f>IFERROR(__xludf.DUMMYFUNCTION("""COMPUTED_VALUE"""),"English")</f>
        <v>English</v>
      </c>
      <c r="K529" s="22">
        <f>IFERROR(__xludf.DUMMYFUNCTION("""COMPUTED_VALUE"""),44413.0)</f>
        <v>44413</v>
      </c>
      <c r="L529" s="23" t="str">
        <f>IFERROR(__xludf.DUMMYFUNCTION("""COMPUTED_VALUE"""),"https://masterplan.com/courses/schluss-mit-schlechten-meetings-ted")</f>
        <v>https://masterplan.com/courses/schluss-mit-schlechten-meetings-ted</v>
      </c>
    </row>
    <row r="530">
      <c r="A530" s="6" t="str">
        <f>IFERROR(__xludf.DUMMYFUNCTION("""COMPUTED_VALUE"""),"Wie du Verbündete am Arbeitsplatz schaffst")</f>
        <v>Wie du Verbündete am Arbeitsplatz schaffst</v>
      </c>
      <c r="B530" s="7" t="str">
        <f>IFERROR(__xludf.DUMMYFUNCTION("""COMPUTED_VALUE"""),"3 Ways to be a Better Ally in The Workplace")</f>
        <v>3 Ways to be a Better Ally in The Workplace</v>
      </c>
      <c r="C530" s="8" t="str">
        <f>IFERROR(__xludf.DUMMYFUNCTION("""COMPUTED_VALUE"""),"Die Arbeitsplatzkultur kann unsere Erfolgschancen beeinträchtigen. Es liegt an uns, Verbündete für diejenigen zu sein, die diskriminiert werden. In diesem Kurs stellt Epler drei Grundsätze vor, um Menschen zu unterstützen, die am Arbeitsplatz unterrepräse"&amp;"ntiert sind.")</f>
        <v>Die Arbeitsplatzkultur kann unsere Erfolgschancen beeinträchtigen. Es liegt an uns, Verbündete für diejenigen zu sein, die diskriminiert werden. In diesem Kurs stellt Epler drei Grundsätze vor, um Menschen zu unterstützen, die am Arbeitsplatz unterrepräsentiert sind.</v>
      </c>
      <c r="D530" s="8" t="str">
        <f>IFERROR(__xludf.DUMMYFUNCTION("""COMPUTED_VALUE"""),"The workplace culture around us may limit our opportunities for success, so it's up to all of us to be allies for those who face discrimination. In this actionable course, Epler shares three pillars we can use to support people who are underrepresented in"&amp;" the workplace.")</f>
        <v>The workplace culture around us may limit our opportunities for success, so it's up to all of us to be allies for those who face discrimination. In this actionable course, Epler shares three pillars we can use to support people who are underrepresented in the workplace.</v>
      </c>
      <c r="E530" s="24" t="str">
        <f>IFERROR(__xludf.DUMMYFUNCTION("""COMPUTED_VALUE"""),"Emotional Intelligence")</f>
        <v>Emotional Intelligence</v>
      </c>
      <c r="F530" s="10" t="str">
        <f>IFERROR(__xludf.DUMMYFUNCTION("""COMPUTED_VALUE"""),"TED - Melinda Epler")</f>
        <v>TED - Melinda Epler</v>
      </c>
      <c r="G530" s="11">
        <f>IFERROR(__xludf.DUMMYFUNCTION("""COMPUTED_VALUE"""),13.0)</f>
        <v>13</v>
      </c>
      <c r="H530" s="11">
        <f>IFERROR(__xludf.DUMMYFUNCTION("""COMPUTED_VALUE"""),4.0)</f>
        <v>4</v>
      </c>
      <c r="I530" s="12" t="str">
        <f>IFERROR(__xludf.DUMMYFUNCTION("""COMPUTED_VALUE"""),"English, German")</f>
        <v>English, German</v>
      </c>
      <c r="J530" s="12" t="str">
        <f>IFERROR(__xludf.DUMMYFUNCTION("""COMPUTED_VALUE"""),"English")</f>
        <v>English</v>
      </c>
      <c r="K530" s="13">
        <f>IFERROR(__xludf.DUMMYFUNCTION("""COMPUTED_VALUE"""),44413.0)</f>
        <v>44413</v>
      </c>
      <c r="L530" s="14" t="str">
        <f>IFERROR(__xludf.DUMMYFUNCTION("""COMPUTED_VALUE"""),"https://masterplan.com/courses/wie-du-verbuendete-am-arbeitsplatz-schaffst")</f>
        <v>https://masterplan.com/courses/wie-du-verbuendete-am-arbeitsplatz-schaffst</v>
      </c>
    </row>
    <row r="531">
      <c r="A531" s="15" t="str">
        <f>IFERROR(__xludf.DUMMYFUNCTION("""COMPUTED_VALUE"""),"3 Wege, deine Anpassungsfähigkeit zu testen")</f>
        <v>3 Wege, deine Anpassungsfähigkeit zu testen</v>
      </c>
      <c r="B531" s="16" t="str">
        <f>IFERROR(__xludf.DUMMYFUNCTION("""COMPUTED_VALUE"""),"3 Ways to Measure Your Adaptability")</f>
        <v>3 Ways to Measure Your Adaptability</v>
      </c>
      <c r="C531" s="17" t="str">
        <f>IFERROR(__xludf.DUMMYFUNCTION("""COMPUTED_VALUE"""),"Für Natalie Fratto geht es bei vielversprechenden Start-ups nicht nur um Intelligenz oder Charisma, sondern um Anpassungsfähigkeit. In diesem TED Talk stellt sie drei Wege vor, um Anpassungsfähigkeit zu testen und sie erklärt, warum Anpassungsfähigkeit wi"&amp;"chtig ist.")</f>
        <v>Für Natalie Fratto geht es bei vielversprechenden Start-ups nicht nur um Intelligenz oder Charisma, sondern um Anpassungsfähigkeit. In diesem TED Talk stellt sie drei Wege vor, um Anpassungsfähigkeit zu testen und sie erklärt, warum Anpassungsfähigkeit wichtig ist.</v>
      </c>
      <c r="D531" s="17" t="str">
        <f>IFERROR(__xludf.DUMMYFUNCTION("""COMPUTED_VALUE"""),"When venture investor Natalie Fratto determines which start-up founder to support, she doesn't just look for intelligence or charisma; she looks for adaptability. In this TED talk, she shares three ways to measure your adaptability – and shows why adaptab"&amp;"ility matters.")</f>
        <v>When venture investor Natalie Fratto determines which start-up founder to support, she doesn't just look for intelligence or charisma; she looks for adaptability. In this TED talk, she shares three ways to measure your adaptability – and shows why adaptability matters.</v>
      </c>
      <c r="E531" s="26" t="str">
        <f>IFERROR(__xludf.DUMMYFUNCTION("""COMPUTED_VALUE"""),"Collaboration and Leadership")</f>
        <v>Collaboration and Leadership</v>
      </c>
      <c r="F531" s="19" t="str">
        <f>IFERROR(__xludf.DUMMYFUNCTION("""COMPUTED_VALUE"""),"TED - Natalie Fratto")</f>
        <v>TED - Natalie Fratto</v>
      </c>
      <c r="G531" s="20">
        <f>IFERROR(__xludf.DUMMYFUNCTION("""COMPUTED_VALUE"""),10.0)</f>
        <v>10</v>
      </c>
      <c r="H531" s="20">
        <f>IFERROR(__xludf.DUMMYFUNCTION("""COMPUTED_VALUE"""),4.0)</f>
        <v>4</v>
      </c>
      <c r="I531" s="21" t="str">
        <f>IFERROR(__xludf.DUMMYFUNCTION("""COMPUTED_VALUE"""),"English, German")</f>
        <v>English, German</v>
      </c>
      <c r="J531" s="21" t="str">
        <f>IFERROR(__xludf.DUMMYFUNCTION("""COMPUTED_VALUE"""),"English")</f>
        <v>English</v>
      </c>
      <c r="K531" s="22">
        <f>IFERROR(__xludf.DUMMYFUNCTION("""COMPUTED_VALUE"""),44413.0)</f>
        <v>44413</v>
      </c>
      <c r="L531" s="23" t="str">
        <f>IFERROR(__xludf.DUMMYFUNCTION("""COMPUTED_VALUE"""),"https://masterplan.com/courses/wege-deine-anpassungsfaehigkeit-zu-testen")</f>
        <v>https://masterplan.com/courses/wege-deine-anpassungsfaehigkeit-zu-testen</v>
      </c>
    </row>
    <row r="532">
      <c r="A532" s="6" t="str">
        <f>IFERROR(__xludf.DUMMYFUNCTION("""COMPUTED_VALUE"""),"Wie Fokusgruppen funktionieren")</f>
        <v>Wie Fokusgruppen funktionieren</v>
      </c>
      <c r="B532" s="7" t="str">
        <f>IFERROR(__xludf.DUMMYFUNCTION("""COMPUTED_VALUE"""),"How Do Focus Groups Work?")</f>
        <v>How Do Focus Groups Work?</v>
      </c>
      <c r="C532" s="8" t="str">
        <f>IFERROR(__xludf.DUMMYFUNCTION("""COMPUTED_VALUE"""),"Mit Fokusgruppen kann fast alles erforscht werden, von Haushaltsprodukten zur Beliebtheit von Politiker:innen. Aber wie werden diese Gruppen zusammengesetzt? Warum wurde diese Technik eingeführt? All das erfährst du in dieser TED-Ed Lektion!")</f>
        <v>Mit Fokusgruppen kann fast alles erforscht werden, von Haushaltsprodukten zur Beliebtheit von Politiker:innen. Aber wie werden diese Gruppen zusammengesetzt? Warum wurde diese Technik eingeführt? All das erfährst du in dieser TED-Ed Lektion!</v>
      </c>
      <c r="D532" s="8" t="str">
        <f>IFERROR(__xludf.DUMMYFUNCTION("""COMPUTED_VALUE"""),"From household products to a politician's popularity, almost everything can be explored through the use of focus groups. But how are these groups put together? And how did this technique come about? You'll find out in the TED-Ed lesson!")</f>
        <v>From household products to a politician's popularity, almost everything can be explored through the use of focus groups. But how are these groups put together? And how did this technique come about? You'll find out in the TED-Ed lesson!</v>
      </c>
      <c r="E532" s="18" t="str">
        <f>IFERROR(__xludf.DUMMYFUNCTION("""COMPUTED_VALUE"""),"Creativity and Innovation")</f>
        <v>Creativity and Innovation</v>
      </c>
      <c r="F532" s="10" t="str">
        <f>IFERROR(__xludf.DUMMYFUNCTION("""COMPUTED_VALUE"""),"TED")</f>
        <v>TED</v>
      </c>
      <c r="G532" s="11">
        <f>IFERROR(__xludf.DUMMYFUNCTION("""COMPUTED_VALUE"""),7.0)</f>
        <v>7</v>
      </c>
      <c r="H532" s="11">
        <f>IFERROR(__xludf.DUMMYFUNCTION("""COMPUTED_VALUE"""),4.0)</f>
        <v>4</v>
      </c>
      <c r="I532" s="12" t="str">
        <f>IFERROR(__xludf.DUMMYFUNCTION("""COMPUTED_VALUE"""),"English, German")</f>
        <v>English, German</v>
      </c>
      <c r="J532" s="12" t="str">
        <f>IFERROR(__xludf.DUMMYFUNCTION("""COMPUTED_VALUE"""),"English")</f>
        <v>English</v>
      </c>
      <c r="K532" s="13">
        <f>IFERROR(__xludf.DUMMYFUNCTION("""COMPUTED_VALUE"""),44412.0)</f>
        <v>44412</v>
      </c>
      <c r="L532" s="14" t="str">
        <f>IFERROR(__xludf.DUMMYFUNCTION("""COMPUTED_VALUE"""),"https://masterplan.com/courses/wie-fokusgruppen-funktionieren")</f>
        <v>https://masterplan.com/courses/wie-fokusgruppen-funktionieren</v>
      </c>
    </row>
    <row r="533">
      <c r="A533" s="15" t="str">
        <f>IFERROR(__xludf.DUMMYFUNCTION("""COMPUTED_VALUE"""),"4 Tipps für großartige Vorträge")</f>
        <v>4 Tipps für großartige Vorträge</v>
      </c>
      <c r="B533" s="16" t="str">
        <f>IFERROR(__xludf.DUMMYFUNCTION("""COMPUTED_VALUE"""),"4 Secrets for Great Public Speaking")</f>
        <v>4 Secrets for Great Public Speaking</v>
      </c>
      <c r="C533" s="17" t="str">
        <f>IFERROR(__xludf.DUMMYFUNCTION("""COMPUTED_VALUE"""),"Es gibt kein Erfolgsrezept für einen großartigen Vortrag, aber es gibt eine geheime Zutat, die die besten Vorträge gemeinsam haben. TED-Leiter Chris Anderson verrät, wie du eine Idee teilst, die es wert ist, weitergegeben zu werden.")</f>
        <v>Es gibt kein Erfolgsrezept für einen großartigen Vortrag, aber es gibt eine geheime Zutat, die die besten Vorträge gemeinsam haben. TED-Leiter Chris Anderson verrät, wie du eine Idee teilst, die es wert ist, weitergegeben zu werden.</v>
      </c>
      <c r="D533" s="17" t="str">
        <f>IFERROR(__xludf.DUMMYFUNCTION("""COMPUTED_VALUE"""),"There's no single formula for a great talk, but there is a secret ingredient that all the best ones have in common. TED curator Chris Anderson shares this secret – along with four ways to make it work for you. Do you have what it takes to share an idea wo"&amp;"rth spreading?")</f>
        <v>There's no single formula for a great talk, but there is a secret ingredient that all the best ones have in common. TED curator Chris Anderson shares this secret – along with four ways to make it work for you. Do you have what it takes to share an idea worth spreading?</v>
      </c>
      <c r="E533" s="28" t="str">
        <f>IFERROR(__xludf.DUMMYFUNCTION("""COMPUTED_VALUE"""),"Communication")</f>
        <v>Communication</v>
      </c>
      <c r="F533" s="19" t="str">
        <f>IFERROR(__xludf.DUMMYFUNCTION("""COMPUTED_VALUE"""),"TED - Chris Anderson")</f>
        <v>TED - Chris Anderson</v>
      </c>
      <c r="G533" s="20">
        <f>IFERROR(__xludf.DUMMYFUNCTION("""COMPUTED_VALUE"""),10.0)</f>
        <v>10</v>
      </c>
      <c r="H533" s="20">
        <f>IFERROR(__xludf.DUMMYFUNCTION("""COMPUTED_VALUE"""),4.0)</f>
        <v>4</v>
      </c>
      <c r="I533" s="21" t="str">
        <f>IFERROR(__xludf.DUMMYFUNCTION("""COMPUTED_VALUE"""),"English, German")</f>
        <v>English, German</v>
      </c>
      <c r="J533" s="21" t="str">
        <f>IFERROR(__xludf.DUMMYFUNCTION("""COMPUTED_VALUE"""),"English")</f>
        <v>English</v>
      </c>
      <c r="K533" s="22">
        <f>IFERROR(__xludf.DUMMYFUNCTION("""COMPUTED_VALUE"""),44412.0)</f>
        <v>44412</v>
      </c>
      <c r="L533" s="23" t="str">
        <f>IFERROR(__xludf.DUMMYFUNCTION("""COMPUTED_VALUE"""),"https://masterplan.com/courses/vier-tipps-fuer-grossartige-vortraege")</f>
        <v>https://masterplan.com/courses/vier-tipps-fuer-grossartige-vortraege</v>
      </c>
    </row>
    <row r="534">
      <c r="A534" s="6" t="str">
        <f>IFERROR(__xludf.DUMMYFUNCTION("""COMPUTED_VALUE"""),"Vordenker haben überraschende Gewohnheiten")</f>
        <v>Vordenker haben überraschende Gewohnheiten</v>
      </c>
      <c r="B534" s="7" t="str">
        <f>IFERROR(__xludf.DUMMYFUNCTION("""COMPUTED_VALUE"""),"The Surprising Habits of Original Thinkers")</f>
        <v>The Surprising Habits of Original Thinkers</v>
      </c>
      <c r="C534" s="8" t="str">
        <f>IFERROR(__xludf.DUMMYFUNCTION("""COMPUTED_VALUE"""),"Wie entwickelt man großartige Ideen? Wie setzen wir sie um? Erfahre in diesem Kurs, welche Gewohnheiten die größten Vordenker der Geschichte hatten - und wie eine vermeintliche Schwäche dir zum Erfolg verhelfen kann.")</f>
        <v>Wie entwickelt man großartige Ideen? Wie setzen wir sie um? Erfahre in diesem Kurs, welche Gewohnheiten die größten Vordenker der Geschichte hatten - und wie eine vermeintliche Schwäche dir zum Erfolg verhelfen kann.</v>
      </c>
      <c r="D534" s="8" t="str">
        <f>IFERROR(__xludf.DUMMYFUNCTION("""COMPUTED_VALUE"""),"What does it take to develop truly great ideas? How do we put them into action? Learn about the habits of some of history's greatest thinkers - and how what you might see as weaknesses can foster greatness.")</f>
        <v>What does it take to develop truly great ideas? How do we put them into action? Learn about the habits of some of history's greatest thinkers - and how what you might see as weaknesses can foster greatness.</v>
      </c>
      <c r="E534" s="18" t="str">
        <f>IFERROR(__xludf.DUMMYFUNCTION("""COMPUTED_VALUE"""),"Creativity and Innovation")</f>
        <v>Creativity and Innovation</v>
      </c>
      <c r="F534" s="10" t="str">
        <f>IFERROR(__xludf.DUMMYFUNCTION("""COMPUTED_VALUE"""),"TED - Adam Grant")</f>
        <v>TED - Adam Grant</v>
      </c>
      <c r="G534" s="11">
        <f>IFERROR(__xludf.DUMMYFUNCTION("""COMPUTED_VALUE"""),17.0)</f>
        <v>17</v>
      </c>
      <c r="H534" s="11">
        <f>IFERROR(__xludf.DUMMYFUNCTION("""COMPUTED_VALUE"""),3.0)</f>
        <v>3</v>
      </c>
      <c r="I534" s="12" t="str">
        <f>IFERROR(__xludf.DUMMYFUNCTION("""COMPUTED_VALUE"""),"English, German")</f>
        <v>English, German</v>
      </c>
      <c r="J534" s="12" t="str">
        <f>IFERROR(__xludf.DUMMYFUNCTION("""COMPUTED_VALUE"""),"English")</f>
        <v>English</v>
      </c>
      <c r="K534" s="13">
        <f>IFERROR(__xludf.DUMMYFUNCTION("""COMPUTED_VALUE"""),44411.0)</f>
        <v>44411</v>
      </c>
      <c r="L534" s="14" t="str">
        <f>IFERROR(__xludf.DUMMYFUNCTION("""COMPUTED_VALUE"""),"https://masterplan.com/courses/vordenker-haben-ueberraschende-gewohnheiten")</f>
        <v>https://masterplan.com/courses/vordenker-haben-ueberraschende-gewohnheiten</v>
      </c>
    </row>
    <row r="535">
      <c r="A535" s="15" t="str">
        <f>IFERROR(__xludf.DUMMYFUNCTION("""COMPUTED_VALUE"""),"Vertrauen als moderne Währung")</f>
        <v>Vertrauen als moderne Währung</v>
      </c>
      <c r="B535" s="16" t="str">
        <f>IFERROR(__xludf.DUMMYFUNCTION("""COMPUTED_VALUE"""),"The Currency of the New Economy is Trust")</f>
        <v>The Currency of the New Economy is Trust</v>
      </c>
      <c r="C535" s="17" t="str">
        <f>IFERROR(__xludf.DUMMYFUNCTION("""COMPUTED_VALUE"""),"Der kollaborative Konsum hat sich stark entwickelt - das webbasierte Teilen von Autos, Wohnungen, Fähigkeiten und mehr! Rachel Botsman erforscht wie Systeme, wie Airbnb und TaskRabbit, funktionieren: Vertrauen, Einfluss und das, was sie ""Reputationskapit"&amp;"al"" nennt.")</f>
        <v>Der kollaborative Konsum hat sich stark entwickelt - das webbasierte Teilen von Autos, Wohnungen, Fähigkeiten und mehr! Rachel Botsman erforscht wie Systeme, wie Airbnb und TaskRabbit, funktionieren: Vertrauen, Einfluss und das, was sie "Reputationskapital" nennt.</v>
      </c>
      <c r="D535" s="17" t="str">
        <f>IFERROR(__xludf.DUMMYFUNCTION("""COMPUTED_VALUE"""),"There's been an explosion of collaborative consumption – web-powered sharing of cars, apartments, skills, and more! Rachel Botsman explores the currency that makes systems like Airbnb and Taskrabbit work: trust, influence, and what she calls ""reputation "&amp;"capital.""")</f>
        <v>There's been an explosion of collaborative consumption – web-powered sharing of cars, apartments, skills, and more! Rachel Botsman explores the currency that makes systems like Airbnb and Taskrabbit work: trust, influence, and what she calls "reputation capital."</v>
      </c>
      <c r="E535" s="18" t="str">
        <f>IFERROR(__xludf.DUMMYFUNCTION("""COMPUTED_VALUE"""),"Creativity and Innovation")</f>
        <v>Creativity and Innovation</v>
      </c>
      <c r="F535" s="19" t="str">
        <f>IFERROR(__xludf.DUMMYFUNCTION("""COMPUTED_VALUE"""),"TED - Rachel Botsman ")</f>
        <v>TED - Rachel Botsman </v>
      </c>
      <c r="G535" s="20">
        <f>IFERROR(__xludf.DUMMYFUNCTION("""COMPUTED_VALUE"""),21.0)</f>
        <v>21</v>
      </c>
      <c r="H535" s="20">
        <f>IFERROR(__xludf.DUMMYFUNCTION("""COMPUTED_VALUE"""),4.0)</f>
        <v>4</v>
      </c>
      <c r="I535" s="21" t="str">
        <f>IFERROR(__xludf.DUMMYFUNCTION("""COMPUTED_VALUE"""),"English, German")</f>
        <v>English, German</v>
      </c>
      <c r="J535" s="21" t="str">
        <f>IFERROR(__xludf.DUMMYFUNCTION("""COMPUTED_VALUE"""),"English")</f>
        <v>English</v>
      </c>
      <c r="K535" s="22">
        <f>IFERROR(__xludf.DUMMYFUNCTION("""COMPUTED_VALUE"""),44411.0)</f>
        <v>44411</v>
      </c>
      <c r="L535" s="23" t="str">
        <f>IFERROR(__xludf.DUMMYFUNCTION("""COMPUTED_VALUE"""),"https://masterplan.com/courses/vertrauen-als-moderne-waehrung")</f>
        <v>https://masterplan.com/courses/vertrauen-als-moderne-waehrung</v>
      </c>
    </row>
    <row r="536">
      <c r="A536" s="6" t="str">
        <f>IFERROR(__xludf.DUMMYFUNCTION("""COMPUTED_VALUE"""),"Das Paradoxon der Wahlmöglichkeiten")</f>
        <v>Das Paradoxon der Wahlmöglichkeiten</v>
      </c>
      <c r="B536" s="7" t="str">
        <f>IFERROR(__xludf.DUMMYFUNCTION("""COMPUTED_VALUE"""),"The Paradox of Choice")</f>
        <v>The Paradox of Choice</v>
      </c>
      <c r="C536" s="8" t="str">
        <f>IFERROR(__xludf.DUMMYFUNCTION("""COMPUTED_VALUE"""),"Der Psychologe Barry Schwartz nimmt einen Grundsatz unserer Gesellschaft ins Visier: die Entscheidungsfreiheit. Nach Schwartz' Einschätzung hat diese uns nicht freier, sondern starrer, nicht glücklicher, sondern eher unzufriedener gemacht. Wie entflieht m"&amp;"an dem Paradoxon?")</f>
        <v>Der Psychologe Barry Schwartz nimmt einen Grundsatz unserer Gesellschaft ins Visier: die Entscheidungsfreiheit. Nach Schwartz' Einschätzung hat diese uns nicht freier, sondern starrer, nicht glücklicher, sondern eher unzufriedener gemacht. Wie entflieht man dem Paradoxon?</v>
      </c>
      <c r="D536" s="8" t="str">
        <f>IFERROR(__xludf.DUMMYFUNCTION("""COMPUTED_VALUE"""),"Psychologist Barry Schwartz takes aim at a central tenet of western societies: freedom of choice. In Schwartz's estimation, choice has made us not freer but more paralyzed, not happier but more dissatisfied. Is there any way out of this paradox?")</f>
        <v>Psychologist Barry Schwartz takes aim at a central tenet of western societies: freedom of choice. In Schwartz's estimation, choice has made us not freer but more paralyzed, not happier but more dissatisfied. Is there any way out of this paradox?</v>
      </c>
      <c r="E536" s="29" t="str">
        <f>IFERROR(__xludf.DUMMYFUNCTION("""COMPUTED_VALUE"""),"Thinking and Deciding Clearly")</f>
        <v>Thinking and Deciding Clearly</v>
      </c>
      <c r="F536" s="10" t="str">
        <f>IFERROR(__xludf.DUMMYFUNCTION("""COMPUTED_VALUE"""),"TED - Barry Schwartz")</f>
        <v>TED - Barry Schwartz</v>
      </c>
      <c r="G536" s="11">
        <f>IFERROR(__xludf.DUMMYFUNCTION("""COMPUTED_VALUE"""),19.0)</f>
        <v>19</v>
      </c>
      <c r="H536" s="11">
        <f>IFERROR(__xludf.DUMMYFUNCTION("""COMPUTED_VALUE"""),3.0)</f>
        <v>3</v>
      </c>
      <c r="I536" s="12" t="str">
        <f>IFERROR(__xludf.DUMMYFUNCTION("""COMPUTED_VALUE"""),"English, German")</f>
        <v>English, German</v>
      </c>
      <c r="J536" s="12" t="str">
        <f>IFERROR(__xludf.DUMMYFUNCTION("""COMPUTED_VALUE"""),"English")</f>
        <v>English</v>
      </c>
      <c r="K536" s="13">
        <f>IFERROR(__xludf.DUMMYFUNCTION("""COMPUTED_VALUE"""),44410.0)</f>
        <v>44410</v>
      </c>
      <c r="L536" s="14" t="str">
        <f>IFERROR(__xludf.DUMMYFUNCTION("""COMPUTED_VALUE"""),"https://masterplan.com/courses/das-paradoxon-der-wahlmoglichkeiten")</f>
        <v>https://masterplan.com/courses/das-paradoxon-der-wahlmoglichkeiten</v>
      </c>
    </row>
    <row r="537">
      <c r="A537" s="15" t="str">
        <f>IFERROR(__xludf.DUMMYFUNCTION("""COMPUTED_VALUE"""),"Wie Führungskräfte Handlungen motivieren")</f>
        <v>Wie Führungskräfte Handlungen motivieren</v>
      </c>
      <c r="B537" s="16" t="str">
        <f>IFERROR(__xludf.DUMMYFUNCTION("""COMPUTED_VALUE"""),"How Great Leaders Inspire Action
as")</f>
        <v>How Great Leaders Inspire Action
as</v>
      </c>
      <c r="C537" s="17" t="str">
        <f>IFERROR(__xludf.DUMMYFUNCTION("""COMPUTED_VALUE"""),"Von Apple über Martin Luther King Jr. bis hin zu den Gebrüdern Wright - inspirerende Führungspersonen stellen sich eine wichtige Frage: ""Warum?"" Finde heraus, was außergewöhnliche Unternehmen und Menschen antreibt und wie du innovative Fragen stellst.")</f>
        <v>Von Apple über Martin Luther King Jr. bis hin zu den Gebrüdern Wright - inspirerende Führungspersonen stellen sich eine wichtige Frage: "Warum?" Finde heraus, was außergewöhnliche Unternehmen und Menschen antreibt und wie du innovative Fragen stellst.</v>
      </c>
      <c r="D537" s="17" t="str">
        <f>IFERROR(__xludf.DUMMYFUNCTION("""COMPUTED_VALUE"""),"From Apple to Martin Luther King Jr. to the Wright brothers, inspirational leadership starts with a simple question: ""Why?"" Find out what drives outstanding companies and people and learn how to ask questions that help set you apart.")</f>
        <v>From Apple to Martin Luther King Jr. to the Wright brothers, inspirational leadership starts with a simple question: "Why?" Find out what drives outstanding companies and people and learn how to ask questions that help set you apart.</v>
      </c>
      <c r="E537" s="26" t="str">
        <f>IFERROR(__xludf.DUMMYFUNCTION("""COMPUTED_VALUE"""),"Collaboration and Leadership")</f>
        <v>Collaboration and Leadership</v>
      </c>
      <c r="F537" s="19" t="str">
        <f>IFERROR(__xludf.DUMMYFUNCTION("""COMPUTED_VALUE"""),"TED - Simon Sinek")</f>
        <v>TED - Simon Sinek</v>
      </c>
      <c r="G537" s="20">
        <f>IFERROR(__xludf.DUMMYFUNCTION("""COMPUTED_VALUE"""),18.0)</f>
        <v>18</v>
      </c>
      <c r="H537" s="20">
        <f>IFERROR(__xludf.DUMMYFUNCTION("""COMPUTED_VALUE"""),3.0)</f>
        <v>3</v>
      </c>
      <c r="I537" s="21" t="str">
        <f>IFERROR(__xludf.DUMMYFUNCTION("""COMPUTED_VALUE"""),"English, German")</f>
        <v>English, German</v>
      </c>
      <c r="J537" s="21" t="str">
        <f>IFERROR(__xludf.DUMMYFUNCTION("""COMPUTED_VALUE"""),"English")</f>
        <v>English</v>
      </c>
      <c r="K537" s="22">
        <f>IFERROR(__xludf.DUMMYFUNCTION("""COMPUTED_VALUE"""),44410.0)</f>
        <v>44410</v>
      </c>
      <c r="L537" s="23" t="str">
        <f>IFERROR(__xludf.DUMMYFUNCTION("""COMPUTED_VALUE"""),"https://masterplan.com/courses/wie-fuehrungskraefte-handlungen-motivieren")</f>
        <v>https://masterplan.com/courses/wie-fuehrungskraefte-handlungen-motivieren</v>
      </c>
    </row>
    <row r="538">
      <c r="A538" s="6" t="str">
        <f>IFERROR(__xludf.DUMMYFUNCTION("""COMPUTED_VALUE"""),"Grund zum Optimismus beim Klimawandel")</f>
        <v>Grund zum Optimismus beim Klimawandel</v>
      </c>
      <c r="B538" s="7" t="str">
        <f>IFERROR(__xludf.DUMMYFUNCTION("""COMPUTED_VALUE"""),"The Case for Optimism on Climate Change")</f>
        <v>The Case for Optimism on Climate Change</v>
      </c>
      <c r="C538" s="8" t="str">
        <f>IFERROR(__xludf.DUMMYFUNCTION("""COMPUTED_VALUE"""),"Warum ist Al Gore bezüglich des Klimawandels zuversichtlich? In diesem lebhaften Vortrag werden drei wichtige Fragen zu den vom Menschen verursachten Faktoren, die unseren Planeten zu zerstören drohen und ausgearbeitete Maßnahmen zur Eindämmung, vorgestel"&amp;"lt.")</f>
        <v>Warum ist Al Gore bezüglich des Klimawandels zuversichtlich? In diesem lebhaften Vortrag werden drei wichtige Fragen zu den vom Menschen verursachten Faktoren, die unseren Planeten zu zerstören drohen und ausgearbeitete Maßnahmen zur Eindämmung, vorgestellt.</v>
      </c>
      <c r="D538" s="8" t="str">
        <f>IFERROR(__xludf.DUMMYFUNCTION("""COMPUTED_VALUE"""),"Why is Al Gore optimistic about Climate Change? In this spirited talk, Al Gore asks three powerful questions about the man-made forces threatening to destroy our planet. Luckily, he follows them up with the state-of-the-art solutions we're designing to co"&amp;"mbat them.")</f>
        <v>Why is Al Gore optimistic about Climate Change? In this spirited talk, Al Gore asks three powerful questions about the man-made forces threatening to destroy our planet. Luckily, he follows them up with the state-of-the-art solutions we're designing to combat them.</v>
      </c>
      <c r="E538" s="9" t="str">
        <f>IFERROR(__xludf.DUMMYFUNCTION("""COMPUTED_VALUE"""),"Global Citizenship")</f>
        <v>Global Citizenship</v>
      </c>
      <c r="F538" s="10" t="str">
        <f>IFERROR(__xludf.DUMMYFUNCTION("""COMPUTED_VALUE"""),"TED - Al Gore")</f>
        <v>TED - Al Gore</v>
      </c>
      <c r="G538" s="11">
        <f>IFERROR(__xludf.DUMMYFUNCTION("""COMPUTED_VALUE"""),25.0)</f>
        <v>25</v>
      </c>
      <c r="H538" s="11">
        <f>IFERROR(__xludf.DUMMYFUNCTION("""COMPUTED_VALUE"""),3.0)</f>
        <v>3</v>
      </c>
      <c r="I538" s="12" t="str">
        <f>IFERROR(__xludf.DUMMYFUNCTION("""COMPUTED_VALUE"""),"English, German")</f>
        <v>English, German</v>
      </c>
      <c r="J538" s="12" t="str">
        <f>IFERROR(__xludf.DUMMYFUNCTION("""COMPUTED_VALUE"""),"English")</f>
        <v>English</v>
      </c>
      <c r="K538" s="13">
        <f>IFERROR(__xludf.DUMMYFUNCTION("""COMPUTED_VALUE"""),44410.0)</f>
        <v>44410</v>
      </c>
      <c r="L538" s="14" t="str">
        <f>IFERROR(__xludf.DUMMYFUNCTION("""COMPUTED_VALUE"""),"https://masterplan.com/courses/grund-zum-optimismus-beim-klimawandel")</f>
        <v>https://masterplan.com/courses/grund-zum-optimismus-beim-klimawandel</v>
      </c>
    </row>
    <row r="539">
      <c r="A539" s="15" t="str">
        <f>IFERROR(__xludf.DUMMYFUNCTION("""COMPUTED_VALUE"""),"Was Spaghettisauce mit Glück zu tun hat")</f>
        <v>Was Spaghettisauce mit Glück zu tun hat</v>
      </c>
      <c r="B539" s="16" t="str">
        <f>IFERROR(__xludf.DUMMYFUNCTION("""COMPUTED_VALUE"""),"Choice, Happiness and Spaghetti Sauce")</f>
        <v>Choice, Happiness and Spaghetti Sauce</v>
      </c>
      <c r="C539" s="17" t="str">
        <f>IFERROR(__xludf.DUMMYFUNCTION("""COMPUTED_VALUE"""),"Malcolm Gladwell, der Autor von *Tipping Point*, spricht über die Suche nach der perfekten Spaghettisauce in der Lebensmittelindustrie und illustriert damit, was es bedeutet eine Wahl zu haben und glücklich zu sein.")</f>
        <v>Malcolm Gladwell, der Autor von *Tipping Point*, spricht über die Suche nach der perfekten Spaghettisauce in der Lebensmittelindustrie und illustriert damit, was es bedeutet eine Wahl zu haben und glücklich zu sein.</v>
      </c>
      <c r="D539" s="17" t="str">
        <f>IFERROR(__xludf.DUMMYFUNCTION("""COMPUTED_VALUE"""),"*Tipping Point* author Malcolm Gladwell gets inside the food industry's pursuit of the perfect spaghetti sauce and makes a larger argument about the nature of choice and happiness.")</f>
        <v>*Tipping Point* author Malcolm Gladwell gets inside the food industry's pursuit of the perfect spaghetti sauce and makes a larger argument about the nature of choice and happiness.</v>
      </c>
      <c r="E539" s="24" t="str">
        <f>IFERROR(__xludf.DUMMYFUNCTION("""COMPUTED_VALUE"""),"Emotional Intelligence")</f>
        <v>Emotional Intelligence</v>
      </c>
      <c r="F539" s="19" t="str">
        <f>IFERROR(__xludf.DUMMYFUNCTION("""COMPUTED_VALUE"""),"TED - Malcolm Gladwell")</f>
        <v>TED - Malcolm Gladwell</v>
      </c>
      <c r="G539" s="20">
        <f>IFERROR(__xludf.DUMMYFUNCTION("""COMPUTED_VALUE"""),17.0)</f>
        <v>17</v>
      </c>
      <c r="H539" s="20">
        <f>IFERROR(__xludf.DUMMYFUNCTION("""COMPUTED_VALUE"""),3.0)</f>
        <v>3</v>
      </c>
      <c r="I539" s="21" t="str">
        <f>IFERROR(__xludf.DUMMYFUNCTION("""COMPUTED_VALUE"""),"English, German")</f>
        <v>English, German</v>
      </c>
      <c r="J539" s="21" t="str">
        <f>IFERROR(__xludf.DUMMYFUNCTION("""COMPUTED_VALUE"""),"English")</f>
        <v>English</v>
      </c>
      <c r="K539" s="22">
        <f>IFERROR(__xludf.DUMMYFUNCTION("""COMPUTED_VALUE"""),44410.0)</f>
        <v>44410</v>
      </c>
      <c r="L539" s="23" t="str">
        <f>IFERROR(__xludf.DUMMYFUNCTION("""COMPUTED_VALUE"""),"https://masterplan.com/courses/was-spaghettisauce-mit-glueck-zu-tun-hat")</f>
        <v>https://masterplan.com/courses/was-spaghettisauce-mit-glueck-zu-tun-hat</v>
      </c>
    </row>
    <row r="540">
      <c r="A540" s="6" t="str">
        <f>IFERROR(__xludf.DUMMYFUNCTION("""COMPUTED_VALUE"""),"Warum zu viele Regeln Produktivität blockieren")</f>
        <v>Warum zu viele Regeln Produktivität blockieren</v>
      </c>
      <c r="B540" s="7" t="str">
        <f>IFERROR(__xludf.DUMMYFUNCTION("""COMPUTED_VALUE"""),"How Too Many Rules Inhibit Productivity")</f>
        <v>How Too Many Rules Inhibit Productivity</v>
      </c>
      <c r="C540" s="8" t="str">
        <f>IFERROR(__xludf.DUMMYFUNCTION("""COMPUTED_VALUE"""),"In diesem TED Talk erklärt Yves Morieux, dass zu viele Vorschriften, strukturierte Prozesse und Metriken uns zu oft daran hindern, zusammen zu arbeiten und so das beste Resultat zu erzielen. Finde heraus, wie Yves den Standard der Produktivität neu defini"&amp;"ert.")</f>
        <v>In diesem TED Talk erklärt Yves Morieux, dass zu viele Vorschriften, strukturierte Prozesse und Metriken uns zu oft daran hindern, zusammen zu arbeiten und so das beste Resultat zu erzielen. Finde heraus, wie Yves den Standard der Produktivität neu definiert.</v>
      </c>
      <c r="D540" s="8" t="str">
        <f>IFERROR(__xludf.DUMMYFUNCTION("""COMPUTED_VALUE"""),"In this insightful TED Talk, Yves Morieux shows that, all too often, an overload of rules, processes, and metrics hinders us from working and achieving our best together. Find out what he believes the new frontier of productivity is.")</f>
        <v>In this insightful TED Talk, Yves Morieux shows that, all too often, an overload of rules, processes, and metrics hinders us from working and achieving our best together. Find out what he believes the new frontier of productivity is.</v>
      </c>
      <c r="E540" s="18" t="str">
        <f>IFERROR(__xludf.DUMMYFUNCTION("""COMPUTED_VALUE"""),"Creativity and Innovation")</f>
        <v>Creativity and Innovation</v>
      </c>
      <c r="F540" s="10" t="str">
        <f>IFERROR(__xludf.DUMMYFUNCTION("""COMPUTED_VALUE"""),"TED - Yves Morieux")</f>
        <v>TED - Yves Morieux</v>
      </c>
      <c r="G540" s="11">
        <f>IFERROR(__xludf.DUMMYFUNCTION("""COMPUTED_VALUE"""),16.0)</f>
        <v>16</v>
      </c>
      <c r="H540" s="11">
        <f>IFERROR(__xludf.DUMMYFUNCTION("""COMPUTED_VALUE"""),3.0)</f>
        <v>3</v>
      </c>
      <c r="I540" s="12" t="str">
        <f>IFERROR(__xludf.DUMMYFUNCTION("""COMPUTED_VALUE"""),"English, German")</f>
        <v>English, German</v>
      </c>
      <c r="J540" s="12" t="str">
        <f>IFERROR(__xludf.DUMMYFUNCTION("""COMPUTED_VALUE"""),"English")</f>
        <v>English</v>
      </c>
      <c r="K540" s="13">
        <f>IFERROR(__xludf.DUMMYFUNCTION("""COMPUTED_VALUE"""),44410.0)</f>
        <v>44410</v>
      </c>
      <c r="L540" s="14" t="str">
        <f>IFERROR(__xludf.DUMMYFUNCTION("""COMPUTED_VALUE"""),"https://masterplan.com/courses/warum-zu-viele-regeln-produktivitaet-blockieren")</f>
        <v>https://masterplan.com/courses/warum-zu-viele-regeln-produktivitaet-blockieren</v>
      </c>
    </row>
    <row r="541">
      <c r="A541" s="15" t="str">
        <f>IFERROR(__xludf.DUMMYFUNCTION("""COMPUTED_VALUE"""),"Was Introvertierte anderen voraus haben")</f>
        <v>Was Introvertierte anderen voraus haben</v>
      </c>
      <c r="B541" s="16" t="str">
        <f>IFERROR(__xludf.DUMMYFUNCTION("""COMPUTED_VALUE"""),"The Power of Introverts")</f>
        <v>The Power of Introverts</v>
      </c>
      <c r="C541" s="17" t="str">
        <f>IFERROR(__xludf.DUMMYFUNCTION("""COMPUTED_VALUE"""),"Unsere Welt schätzt die Extrovertierten, aber Susan Cain, eine Verfechterin der Introvertierten, plädiert für die Besonnenen. Sie führt eine soziale Revolution an, die den Menschen zeigt, dass der Blick nach innen eine Tugend ist und kein Problem.")</f>
        <v>Unsere Welt schätzt die Extrovertierten, aber Susan Cain, eine Verfechterin der Introvertierten, plädiert für die Besonnenen. Sie führt eine soziale Revolution an, die den Menschen zeigt, dass der Blick nach innen eine Tugend ist und kein Problem.</v>
      </c>
      <c r="D541" s="17" t="str">
        <f>IFERROR(__xludf.DUMMYFUNCTION("""COMPUTED_VALUE"""),"Our world prizes extroverts, but Susan Cain, a champion of introverts everywhere, makes a case for the contemplative. She's leading a social revolution that's showing people that looking inward is a virtue, not a problem.")</f>
        <v>Our world prizes extroverts, but Susan Cain, a champion of introverts everywhere, makes a case for the contemplative. She's leading a social revolution that's showing people that looking inward is a virtue, not a problem.</v>
      </c>
      <c r="E541" s="24" t="str">
        <f>IFERROR(__xludf.DUMMYFUNCTION("""COMPUTED_VALUE"""),"Emotional Intelligence")</f>
        <v>Emotional Intelligence</v>
      </c>
      <c r="F541" s="19" t="str">
        <f>IFERROR(__xludf.DUMMYFUNCTION("""COMPUTED_VALUE"""),"TED - Susan Cain ")</f>
        <v>TED - Susan Cain </v>
      </c>
      <c r="G541" s="20">
        <f>IFERROR(__xludf.DUMMYFUNCTION("""COMPUTED_VALUE"""),19.0)</f>
        <v>19</v>
      </c>
      <c r="H541" s="20">
        <f>IFERROR(__xludf.DUMMYFUNCTION("""COMPUTED_VALUE"""),3.0)</f>
        <v>3</v>
      </c>
      <c r="I541" s="21" t="str">
        <f>IFERROR(__xludf.DUMMYFUNCTION("""COMPUTED_VALUE"""),"English, German")</f>
        <v>English, German</v>
      </c>
      <c r="J541" s="21" t="str">
        <f>IFERROR(__xludf.DUMMYFUNCTION("""COMPUTED_VALUE"""),"English")</f>
        <v>English</v>
      </c>
      <c r="K541" s="22">
        <f>IFERROR(__xludf.DUMMYFUNCTION("""COMPUTED_VALUE"""),44410.0)</f>
        <v>44410</v>
      </c>
      <c r="L541" s="23" t="str">
        <f>IFERROR(__xludf.DUMMYFUNCTION("""COMPUTED_VALUE"""),"https://masterplan.com/courses/was-introvertierte-anderen-voraus-haben")</f>
        <v>https://masterplan.com/courses/was-introvertierte-anderen-voraus-haben</v>
      </c>
    </row>
    <row r="542">
      <c r="A542" s="6" t="str">
        <f>IFERROR(__xludf.DUMMYFUNCTION("""COMPUTED_VALUE"""),"So steuern wir kollektive Kreativität")</f>
        <v>So steuern wir kollektive Kreativität</v>
      </c>
      <c r="B542" s="7" t="str">
        <f>IFERROR(__xludf.DUMMYFUNCTION("""COMPUTED_VALUE"""),"How to Manage for Collective Creativity")</f>
        <v>How to Manage for Collective Creativity</v>
      </c>
      <c r="C542" s="8" t="str">
        <f>IFERROR(__xludf.DUMMYFUNCTION("""COMPUTED_VALUE"""),"Wie kannst du die Kreativität, die sich in deiner Arbeit verbirgt, freisetzen? Harvard Professorin Linda Hill zeigt dir, wie du Ideen aus all deinen Mitarbeitenden herauskitzelst.")</f>
        <v>Wie kannst du die Kreativität, die sich in deiner Arbeit verbirgt, freisetzen? Harvard Professorin Linda Hill zeigt dir, wie du Ideen aus all deinen Mitarbeitenden herauskitzelst.</v>
      </c>
      <c r="D542" s="8" t="str">
        <f>IFERROR(__xludf.DUMMYFUNCTION("""COMPUTED_VALUE"""),"How do you unleash the creativity hidden within your work? Gain insights from Harvard professor, Linda Hill, and learn how you can get ideas flowing from everyone in your company.")</f>
        <v>How do you unleash the creativity hidden within your work? Gain insights from Harvard professor, Linda Hill, and learn how you can get ideas flowing from everyone in your company.</v>
      </c>
      <c r="E542" s="18" t="str">
        <f>IFERROR(__xludf.DUMMYFUNCTION("""COMPUTED_VALUE"""),"Creativity and Innovation")</f>
        <v>Creativity and Innovation</v>
      </c>
      <c r="F542" s="10" t="str">
        <f>IFERROR(__xludf.DUMMYFUNCTION("""COMPUTED_VALUE"""),"TED - Linda Hill")</f>
        <v>TED - Linda Hill</v>
      </c>
      <c r="G542" s="11">
        <f>IFERROR(__xludf.DUMMYFUNCTION("""COMPUTED_VALUE"""),17.0)</f>
        <v>17</v>
      </c>
      <c r="H542" s="11">
        <f>IFERROR(__xludf.DUMMYFUNCTION("""COMPUTED_VALUE"""),3.0)</f>
        <v>3</v>
      </c>
      <c r="I542" s="12" t="str">
        <f>IFERROR(__xludf.DUMMYFUNCTION("""COMPUTED_VALUE"""),"English, German")</f>
        <v>English, German</v>
      </c>
      <c r="J542" s="12" t="str">
        <f>IFERROR(__xludf.DUMMYFUNCTION("""COMPUTED_VALUE"""),"English")</f>
        <v>English</v>
      </c>
      <c r="K542" s="13">
        <f>IFERROR(__xludf.DUMMYFUNCTION("""COMPUTED_VALUE"""),44407.0)</f>
        <v>44407</v>
      </c>
      <c r="L542" s="14" t="str">
        <f>IFERROR(__xludf.DUMMYFUNCTION("""COMPUTED_VALUE"""),"https://masterplan.com/courses/so-steuern-wir-kollektive-kreativitaet")</f>
        <v>https://masterplan.com/courses/so-steuern-wir-kollektive-kreativitaet</v>
      </c>
    </row>
    <row r="543">
      <c r="A543" s="15" t="str">
        <f>IFERROR(__xludf.DUMMYFUNCTION("""COMPUTED_VALUE"""),"KI-Projekte für Unternehmen: Tools und Ethik")</f>
        <v>KI-Projekte für Unternehmen: Tools und Ethik</v>
      </c>
      <c r="B543" s="16" t="str">
        <f>IFERROR(__xludf.DUMMYFUNCTION("""COMPUTED_VALUE"""),"AI Projects for Business: Tools and Ethics")</f>
        <v>AI Projects for Business: Tools and Ethics</v>
      </c>
      <c r="C543" s="17" t="str">
        <f>IFERROR(__xludf.DUMMYFUNCTION("""COMPUTED_VALUE"""),"Nachdem du einiges über KI und ihre Anwendung gelernt hast, geht es nun um die Einbindung. Bevor du KI für dein Unternehmen nutzt, musst du Probleme identifizieren und Ziele setzen. Erfahre, wie du mehrere KI-Arten kombinierst, ohne moralische Werte einbü"&amp;"ßen zu müssen.")</f>
        <v>Nachdem du einiges über KI und ihre Anwendung gelernt hast, geht es nun um die Einbindung. Bevor du KI für dein Unternehmen nutzt, musst du Probleme identifizieren und Ziele setzen. Erfahre, wie du mehrere KI-Arten kombinierst, ohne moralische Werte einbüßen zu müssen.</v>
      </c>
      <c r="D543" s="17" t="str">
        <f>IFERROR(__xludf.DUMMYFUNCTION("""COMPUTED_VALUE"""),"After learning the tools of AI and how to apply them, the rest comes down to implementation. Using AI for your business needs starts by identifying problems and setting objectives. Get ready to combine various AI tools in one project, all while keeping et"&amp;"hics in mind.")</f>
        <v>After learning the tools of AI and how to apply them, the rest comes down to implementation. Using AI for your business needs starts by identifying problems and setting objectives. Get ready to combine various AI tools in one project, all while keeping ethics in mind.</v>
      </c>
      <c r="E543" s="25" t="str">
        <f>IFERROR(__xludf.DUMMYFUNCTION("""COMPUTED_VALUE"""),"Digital Literacy")</f>
        <v>Digital Literacy</v>
      </c>
      <c r="F543" s="19" t="str">
        <f>IFERROR(__xludf.DUMMYFUNCTION("""COMPUTED_VALUE"""),"AI Academy - Gianluca Mauro")</f>
        <v>AI Academy - Gianluca Mauro</v>
      </c>
      <c r="G543" s="20">
        <f>IFERROR(__xludf.DUMMYFUNCTION("""COMPUTED_VALUE"""),38.0)</f>
        <v>38</v>
      </c>
      <c r="H543" s="20">
        <f>IFERROR(__xludf.DUMMYFUNCTION("""COMPUTED_VALUE"""),10.0)</f>
        <v>10</v>
      </c>
      <c r="I543" s="21" t="str">
        <f>IFERROR(__xludf.DUMMYFUNCTION("""COMPUTED_VALUE"""),"English, German")</f>
        <v>English, German</v>
      </c>
      <c r="J543" s="21" t="str">
        <f>IFERROR(__xludf.DUMMYFUNCTION("""COMPUTED_VALUE"""),"English")</f>
        <v>English</v>
      </c>
      <c r="K543" s="22">
        <f>IFERROR(__xludf.DUMMYFUNCTION("""COMPUTED_VALUE"""),44406.0)</f>
        <v>44406</v>
      </c>
      <c r="L543" s="23" t="str">
        <f>IFERROR(__xludf.DUMMYFUNCTION("""COMPUTED_VALUE"""),"https://masterplan.com/courses/ki-projekte-fuer-unternehmen-tools-und-ethik")</f>
        <v>https://masterplan.com/courses/ki-projekte-fuer-unternehmen-tools-und-ethik</v>
      </c>
    </row>
    <row r="544">
      <c r="A544" s="6" t="str">
        <f>IFERROR(__xludf.DUMMYFUNCTION("""COMPUTED_VALUE"""),"KI und Empfehlungsdienste")</f>
        <v>KI und Empfehlungsdienste</v>
      </c>
      <c r="B544" s="7" t="str">
        <f>IFERROR(__xludf.DUMMYFUNCTION("""COMPUTED_VALUE"""),"AI and Recommender Systems")</f>
        <v>AI and Recommender Systems</v>
      </c>
      <c r="C544" s="8" t="str">
        <f>IFERROR(__xludf.DUMMYFUNCTION("""COMPUTED_VALUE"""),"Technikgiganten wie Spotify, Amazon und Netflix verdanken unter anderem Empfehlungsdiensten ihren Erfolg. In diesem Kurs erfährst du, was es mit dieser Technologie auf sich hat, inwiefern KI involviert ist und wie dein Unternehmen davon profitieren kann.")</f>
        <v>Technikgiganten wie Spotify, Amazon und Netflix verdanken unter anderem Empfehlungsdiensten ihren Erfolg. In diesem Kurs erfährst du, was es mit dieser Technologie auf sich hat, inwiefern KI involviert ist und wie dein Unternehmen davon profitieren kann.</v>
      </c>
      <c r="D544" s="8" t="str">
        <f>IFERROR(__xludf.DUMMYFUNCTION("""COMPUTED_VALUE"""),"Recommender systems have helped power the rise of industry giants like Spotify, Amazon, and Netflix. What are these systems, and how is AI involved? In this course, you’ll find answers to these questions and more, including how you can use these systems i"&amp;"n your company.")</f>
        <v>Recommender systems have helped power the rise of industry giants like Spotify, Amazon, and Netflix. What are these systems, and how is AI involved? In this course, you’ll find answers to these questions and more, including how you can use these systems in your company.</v>
      </c>
      <c r="E544" s="25" t="str">
        <f>IFERROR(__xludf.DUMMYFUNCTION("""COMPUTED_VALUE"""),"Digital Literacy")</f>
        <v>Digital Literacy</v>
      </c>
      <c r="F544" s="10" t="str">
        <f>IFERROR(__xludf.DUMMYFUNCTION("""COMPUTED_VALUE"""),"AI Academy - Gianluca Mauro")</f>
        <v>AI Academy - Gianluca Mauro</v>
      </c>
      <c r="G544" s="11">
        <f>IFERROR(__xludf.DUMMYFUNCTION("""COMPUTED_VALUE"""),38.0)</f>
        <v>38</v>
      </c>
      <c r="H544" s="11">
        <f>IFERROR(__xludf.DUMMYFUNCTION("""COMPUTED_VALUE"""),21.0)</f>
        <v>21</v>
      </c>
      <c r="I544" s="12" t="str">
        <f>IFERROR(__xludf.DUMMYFUNCTION("""COMPUTED_VALUE"""),"English, German")</f>
        <v>English, German</v>
      </c>
      <c r="J544" s="12" t="str">
        <f>IFERROR(__xludf.DUMMYFUNCTION("""COMPUTED_VALUE"""),"English")</f>
        <v>English</v>
      </c>
      <c r="K544" s="13">
        <f>IFERROR(__xludf.DUMMYFUNCTION("""COMPUTED_VALUE"""),44406.0)</f>
        <v>44406</v>
      </c>
      <c r="L544" s="14" t="str">
        <f>IFERROR(__xludf.DUMMYFUNCTION("""COMPUTED_VALUE"""),"https://masterplan.com/courses/ki-und-empfehlungsdienste")</f>
        <v>https://masterplan.com/courses/ki-und-empfehlungsdienste</v>
      </c>
    </row>
    <row r="545">
      <c r="A545" s="15" t="str">
        <f>IFERROR(__xludf.DUMMYFUNCTION("""COMPUTED_VALUE"""),"Unüberwachtes Lernen als Potenzial")</f>
        <v>Unüberwachtes Lernen als Potenzial</v>
      </c>
      <c r="B545" s="16" t="str">
        <f>IFERROR(__xludf.DUMMYFUNCTION("""COMPUTED_VALUE"""),"The Potential of Unsupervised Learning")</f>
        <v>The Potential of Unsupervised Learning</v>
      </c>
      <c r="C545" s="17" t="str">
        <f>IFERROR(__xludf.DUMMYFUNCTION("""COMPUTED_VALUE"""),"Unüberwachtes Lernen wird in Diskussionen zum maschinellen Lernen oft übergangen. Obwohl es weniger bekannt als Formen des überwachten Lernens ist, birgt es großes Potenzial zur Erkennung von Mustern in deinen Daten, von deren Existenz du noch nicht einma"&amp;"l wusstest.")</f>
        <v>Unüberwachtes Lernen wird in Diskussionen zum maschinellen Lernen oft übergangen. Obwohl es weniger bekannt als Formen des überwachten Lernens ist, birgt es großes Potenzial zur Erkennung von Mustern in deinen Daten, von deren Existenz du noch nicht einmal wusstest.</v>
      </c>
      <c r="D545" s="17" t="str">
        <f>IFERROR(__xludf.DUMMYFUNCTION("""COMPUTED_VALUE"""),"Unsupervised learning is often passed over in discussions of machine learning. Although less well known than forms of supervised learning, unsupervised learning has incredible potential to discover patterns in your data you didn’t even know existed.")</f>
        <v>Unsupervised learning is often passed over in discussions of machine learning. Although less well known than forms of supervised learning, unsupervised learning has incredible potential to discover patterns in your data you didn’t even know existed.</v>
      </c>
      <c r="E545" s="25" t="str">
        <f>IFERROR(__xludf.DUMMYFUNCTION("""COMPUTED_VALUE"""),"Digital Literacy")</f>
        <v>Digital Literacy</v>
      </c>
      <c r="F545" s="19" t="str">
        <f>IFERROR(__xludf.DUMMYFUNCTION("""COMPUTED_VALUE"""),"AI Academy - Gianluca Mauro")</f>
        <v>AI Academy - Gianluca Mauro</v>
      </c>
      <c r="G545" s="20">
        <f>IFERROR(__xludf.DUMMYFUNCTION("""COMPUTED_VALUE"""),24.0)</f>
        <v>24</v>
      </c>
      <c r="H545" s="20">
        <f>IFERROR(__xludf.DUMMYFUNCTION("""COMPUTED_VALUE"""),12.0)</f>
        <v>12</v>
      </c>
      <c r="I545" s="21" t="str">
        <f>IFERROR(__xludf.DUMMYFUNCTION("""COMPUTED_VALUE"""),"English, German")</f>
        <v>English, German</v>
      </c>
      <c r="J545" s="21" t="str">
        <f>IFERROR(__xludf.DUMMYFUNCTION("""COMPUTED_VALUE"""),"English")</f>
        <v>English</v>
      </c>
      <c r="K545" s="22">
        <f>IFERROR(__xludf.DUMMYFUNCTION("""COMPUTED_VALUE"""),44406.0)</f>
        <v>44406</v>
      </c>
      <c r="L545" s="23" t="str">
        <f>IFERROR(__xludf.DUMMYFUNCTION("""COMPUTED_VALUE"""),"https://masterplan.com/courses/unueberwachtes-lernen-als-potenzial")</f>
        <v>https://masterplan.com/courses/unueberwachtes-lernen-als-potenzial</v>
      </c>
    </row>
    <row r="546">
      <c r="A546" s="6" t="str">
        <f>IFERROR(__xludf.DUMMYFUNCTION("""COMPUTED_VALUE"""),"KI und natürliche Sprachverarbeitung")</f>
        <v>KI und natürliche Sprachverarbeitung</v>
      </c>
      <c r="B546" s="7" t="str">
        <f>IFERROR(__xludf.DUMMYFUNCTION("""COMPUTED_VALUE"""),"AI and Natural Language Processing")</f>
        <v>AI and Natural Language Processing</v>
      </c>
      <c r="C546" s="8" t="str">
        <f>IFERROR(__xludf.DUMMYFUNCTION("""COMPUTED_VALUE"""),"Linguistische Datenverarbeitung (LDV) ist ein KI-Themenfeld, das immer wichtiger wird. Diese neue Technologie ermöglicht Computern, menschliche Sprache besser zu verstehen. In diesem Kurs erfährst du alles über LDV und wie sie in modernsten Geräten einges"&amp;"etzt wird.")</f>
        <v>Linguistische Datenverarbeitung (LDV) ist ein KI-Themenfeld, das immer wichtiger wird. Diese neue Technologie ermöglicht Computern, menschliche Sprache besser zu verstehen. In diesem Kurs erfährst du alles über LDV und wie sie in modernsten Geräten eingesetzt wird.</v>
      </c>
      <c r="D546" s="8" t="str">
        <f>IFERROR(__xludf.DUMMYFUNCTION("""COMPUTED_VALUE"""),"Natural language processing (NLP) is a budding field of AI with significant potential. This new technology is overcoming old limits on computers' ability to understand human language. This course teaches about NLP and how it is being used in cutting-edge "&amp;"applications.")</f>
        <v>Natural language processing (NLP) is a budding field of AI with significant potential. This new technology is overcoming old limits on computers' ability to understand human language. This course teaches about NLP and how it is being used in cutting-edge applications.</v>
      </c>
      <c r="E546" s="25" t="str">
        <f>IFERROR(__xludf.DUMMYFUNCTION("""COMPUTED_VALUE"""),"Digital Literacy")</f>
        <v>Digital Literacy</v>
      </c>
      <c r="F546" s="10" t="str">
        <f>IFERROR(__xludf.DUMMYFUNCTION("""COMPUTED_VALUE"""),"AI Academy - Gianluca Mauro")</f>
        <v>AI Academy - Gianluca Mauro</v>
      </c>
      <c r="G546" s="11">
        <f>IFERROR(__xludf.DUMMYFUNCTION("""COMPUTED_VALUE"""),63.0)</f>
        <v>63</v>
      </c>
      <c r="H546" s="11">
        <f>IFERROR(__xludf.DUMMYFUNCTION("""COMPUTED_VALUE"""),18.0)</f>
        <v>18</v>
      </c>
      <c r="I546" s="12" t="str">
        <f>IFERROR(__xludf.DUMMYFUNCTION("""COMPUTED_VALUE"""),"English, German")</f>
        <v>English, German</v>
      </c>
      <c r="J546" s="12" t="str">
        <f>IFERROR(__xludf.DUMMYFUNCTION("""COMPUTED_VALUE"""),"English")</f>
        <v>English</v>
      </c>
      <c r="K546" s="13">
        <f>IFERROR(__xludf.DUMMYFUNCTION("""COMPUTED_VALUE"""),44405.0)</f>
        <v>44405</v>
      </c>
      <c r="L546" s="14" t="str">
        <f>IFERROR(__xludf.DUMMYFUNCTION("""COMPUTED_VALUE"""),"https://masterplan.com/courses/ki-und-natuerliche-sprachverarbeitung")</f>
        <v>https://masterplan.com/courses/ki-und-natuerliche-sprachverarbeitung</v>
      </c>
    </row>
    <row r="547">
      <c r="A547" s="15" t="str">
        <f>IFERROR(__xludf.DUMMYFUNCTION("""COMPUTED_VALUE"""),"Gefühle zeigen als Stärke sehen")</f>
        <v>Gefühle zeigen als Stärke sehen</v>
      </c>
      <c r="B547" s="16" t="str">
        <f>IFERROR(__xludf.DUMMYFUNCTION("""COMPUTED_VALUE"""),"The Gift and Power of Emotional Courage")</f>
        <v>The Gift and Power of Emotional Courage</v>
      </c>
      <c r="C547" s="17" t="str">
        <f>IFERROR(__xludf.DUMMYFUNCTION("""COMPUTED_VALUE"""),"Susan David erklärt, warum wir Gefühle nicht ignorieren sollten. In diesem bewegenden und möglicherweise lebensverändernden Vortrag, hinterfragt sie die Kultur, die Positivität über emotionale Ehrlichkeit stellt und sie zeigt, wie wichtig es ist, Gefühle "&amp;"zu verstehen.")</f>
        <v>Susan David erklärt, warum wir Gefühle nicht ignorieren sollten. In diesem bewegenden und möglicherweise lebensverändernden Vortrag, hinterfragt sie die Kultur, die Positivität über emotionale Ehrlichkeit stellt und sie zeigt, wie wichtig es ist, Gefühle zu verstehen.</v>
      </c>
      <c r="D547" s="17" t="str">
        <f>IFERROR(__xludf.DUMMYFUNCTION("""COMPUTED_VALUE"""),"While some believe avoiding emotions is fine, Susan David proves otherwise. In this deeply moving and potentially life-changing talk, she'll challenge a culture that prizes positivity over emotional truth, and show just how powerful understanding emotions"&amp;" can be.")</f>
        <v>While some believe avoiding emotions is fine, Susan David proves otherwise. In this deeply moving and potentially life-changing talk, she'll challenge a culture that prizes positivity over emotional truth, and show just how powerful understanding emotions can be.</v>
      </c>
      <c r="E547" s="24" t="str">
        <f>IFERROR(__xludf.DUMMYFUNCTION("""COMPUTED_VALUE"""),"Emotional Intelligence")</f>
        <v>Emotional Intelligence</v>
      </c>
      <c r="F547" s="19" t="str">
        <f>IFERROR(__xludf.DUMMYFUNCTION("""COMPUTED_VALUE"""),"TED - Susan David")</f>
        <v>TED - Susan David</v>
      </c>
      <c r="G547" s="20">
        <f>IFERROR(__xludf.DUMMYFUNCTION("""COMPUTED_VALUE"""),16.0)</f>
        <v>16</v>
      </c>
      <c r="H547" s="20">
        <f>IFERROR(__xludf.DUMMYFUNCTION("""COMPUTED_VALUE"""),3.0)</f>
        <v>3</v>
      </c>
      <c r="I547" s="21" t="str">
        <f>IFERROR(__xludf.DUMMYFUNCTION("""COMPUTED_VALUE"""),"English, German")</f>
        <v>English, German</v>
      </c>
      <c r="J547" s="21" t="str">
        <f>IFERROR(__xludf.DUMMYFUNCTION("""COMPUTED_VALUE"""),"English")</f>
        <v>English</v>
      </c>
      <c r="K547" s="22">
        <f>IFERROR(__xludf.DUMMYFUNCTION("""COMPUTED_VALUE"""),44405.0)</f>
        <v>44405</v>
      </c>
      <c r="L547" s="23" t="str">
        <f>IFERROR(__xludf.DUMMYFUNCTION("""COMPUTED_VALUE"""),"https://masterplan.com/courses/gefuehle-zeigen-als-staerke-sehen")</f>
        <v>https://masterplan.com/courses/gefuehle-zeigen-als-staerke-sehen</v>
      </c>
    </row>
    <row r="548">
      <c r="A548" s="6" t="str">
        <f>IFERROR(__xludf.DUMMYFUNCTION("""COMPUTED_VALUE"""),"Die Zeit der Rangordnungen ist gezählt")</f>
        <v>Die Zeit der Rangordnungen ist gezählt</v>
      </c>
      <c r="B548" s="7" t="str">
        <f>IFERROR(__xludf.DUMMYFUNCTION("""COMPUTED_VALUE"""),"Forget the Pecking Order at Work")</f>
        <v>Forget the Pecking Order at Work</v>
      </c>
      <c r="C548" s="8" t="str">
        <f>IFERROR(__xludf.DUMMYFUNCTION("""COMPUTED_VALUE"""),"Organisationen legen zu oft zu viel Wert auf Top-Mitarbeitende. Aber das treibt leistungsstarke Teams nicht an. Die Wirtschaftsführerin Margaret Heffernan schlägt ein Umdenken bezüglich des Zusammenhalts am Arbeitsplatz vor, und was dies für Führungskräft"&amp;"e bedeutet.")</f>
        <v>Organisationen legen zu oft zu viel Wert auf Top-Mitarbeitende. Aber das treibt leistungsstarke Teams nicht an. Die Wirtschaftsführerin Margaret Heffernan schlägt ein Umdenken bezüglich des Zusammenhalts am Arbeitsplatz vor, und was dies für Führungskräfte bedeutet.</v>
      </c>
      <c r="D548" s="8" t="str">
        <f>IFERROR(__xludf.DUMMYFUNCTION("""COMPUTED_VALUE"""),"Organizations too often place the focus of their value on star employees who outperform others. But this isn't what drives the most high-achieving teams. Business leader Margaret Heffernan offers a radical rethink of workplace cohesion, and what this mean"&amp;"s for leaders.")</f>
        <v>Organizations too often place the focus of their value on star employees who outperform others. But this isn't what drives the most high-achieving teams. Business leader Margaret Heffernan offers a radical rethink of workplace cohesion, and what this means for leaders.</v>
      </c>
      <c r="E548" s="24" t="str">
        <f>IFERROR(__xludf.DUMMYFUNCTION("""COMPUTED_VALUE"""),"Emotional Intelligence")</f>
        <v>Emotional Intelligence</v>
      </c>
      <c r="F548" s="10" t="str">
        <f>IFERROR(__xludf.DUMMYFUNCTION("""COMPUTED_VALUE"""),"TED - Margaret Heffernan")</f>
        <v>TED - Margaret Heffernan</v>
      </c>
      <c r="G548" s="11">
        <f>IFERROR(__xludf.DUMMYFUNCTION("""COMPUTED_VALUE"""),15.0)</f>
        <v>15</v>
      </c>
      <c r="H548" s="11">
        <f>IFERROR(__xludf.DUMMYFUNCTION("""COMPUTED_VALUE"""),3.0)</f>
        <v>3</v>
      </c>
      <c r="I548" s="12" t="str">
        <f>IFERROR(__xludf.DUMMYFUNCTION("""COMPUTED_VALUE"""),"English, German")</f>
        <v>English, German</v>
      </c>
      <c r="J548" s="12" t="str">
        <f>IFERROR(__xludf.DUMMYFUNCTION("""COMPUTED_VALUE"""),"English")</f>
        <v>English</v>
      </c>
      <c r="K548" s="13">
        <f>IFERROR(__xludf.DUMMYFUNCTION("""COMPUTED_VALUE"""),44404.0)</f>
        <v>44404</v>
      </c>
      <c r="L548" s="14" t="str">
        <f>IFERROR(__xludf.DUMMYFUNCTION("""COMPUTED_VALUE"""),"https://masterplan.com/courses/die-zeit-der-rangordnungen-ist-gezaehlt")</f>
        <v>https://masterplan.com/courses/die-zeit-der-rangordnungen-ist-gezaehlt</v>
      </c>
    </row>
    <row r="549">
      <c r="A549" s="15" t="str">
        <f>IFERROR(__xludf.DUMMYFUNCTION("""COMPUTED_VALUE"""),"Warum Respekt gut für das Geschäft ist")</f>
        <v>Warum Respekt gut für das Geschäft ist</v>
      </c>
      <c r="B549" s="16" t="str">
        <f>IFERROR(__xludf.DUMMYFUNCTION("""COMPUTED_VALUE"""),"Coworker Respect Is Good for Business")</f>
        <v>Coworker Respect Is Good for Business</v>
      </c>
      <c r="C549" s="17" t="str">
        <f>IFERROR(__xludf.DUMMYFUNCTION("""COMPUTED_VALUE"""),"Wie kletterst du weiter die Karriereleiter nach oben? Christine Porath zufolge beginnt das damit, respektvoll mit deinen Mitarbeitenden umzugehen. In dieser faktenbasierten Präsentation lernst du die unterschiedlichen Auswirkungen unseres Verhaltens kenne"&amp;"n.")</f>
        <v>Wie kletterst du weiter die Karriereleiter nach oben? Christine Porath zufolge beginnt das damit, respektvoll mit deinen Mitarbeitenden umzugehen. In dieser faktenbasierten Präsentation lernst du die unterschiedlichen Auswirkungen unseres Verhaltens kennen.</v>
      </c>
      <c r="D549" s="17" t="str">
        <f>IFERROR(__xludf.DUMMYFUNCTION("""COMPUTED_VALUE"""),"How do you get ahead in your career? Well, according to researcher Christine Porath, it can be as simple as being respectful to your coworkers. In this science-backed talk, learn about the different impacts our behaviors make.")</f>
        <v>How do you get ahead in your career? Well, according to researcher Christine Porath, it can be as simple as being respectful to your coworkers. In this science-backed talk, learn about the different impacts our behaviors make.</v>
      </c>
      <c r="E549" s="24" t="str">
        <f>IFERROR(__xludf.DUMMYFUNCTION("""COMPUTED_VALUE"""),"Emotional Intelligence")</f>
        <v>Emotional Intelligence</v>
      </c>
      <c r="F549" s="19" t="str">
        <f>IFERROR(__xludf.DUMMYFUNCTION("""COMPUTED_VALUE"""),"TED - Chrstine Porath")</f>
        <v>TED - Chrstine Porath</v>
      </c>
      <c r="G549" s="20">
        <f>IFERROR(__xludf.DUMMYFUNCTION("""COMPUTED_VALUE"""),15.0)</f>
        <v>15</v>
      </c>
      <c r="H549" s="20">
        <f>IFERROR(__xludf.DUMMYFUNCTION("""COMPUTED_VALUE"""),3.0)</f>
        <v>3</v>
      </c>
      <c r="I549" s="21" t="str">
        <f>IFERROR(__xludf.DUMMYFUNCTION("""COMPUTED_VALUE"""),"English, German")</f>
        <v>English, German</v>
      </c>
      <c r="J549" s="21" t="str">
        <f>IFERROR(__xludf.DUMMYFUNCTION("""COMPUTED_VALUE"""),"English")</f>
        <v>English</v>
      </c>
      <c r="K549" s="22">
        <f>IFERROR(__xludf.DUMMYFUNCTION("""COMPUTED_VALUE"""),44404.0)</f>
        <v>44404</v>
      </c>
      <c r="L549" s="23" t="str">
        <f>IFERROR(__xludf.DUMMYFUNCTION("""COMPUTED_VALUE"""),"https://masterplan.com/courses/warum-respekt-gut-fuer-das-geschaeft-ist")</f>
        <v>https://masterplan.com/courses/warum-respekt-gut-fuer-das-geschaeft-ist</v>
      </c>
    </row>
    <row r="550">
      <c r="A550" s="6" t="str">
        <f>IFERROR(__xludf.DUMMYFUNCTION("""COMPUTED_VALUE"""),"Deep Learning und Computer Vision")</f>
        <v>Deep Learning und Computer Vision</v>
      </c>
      <c r="B550" s="7" t="str">
        <f>IFERROR(__xludf.DUMMYFUNCTION("""COMPUTED_VALUE"""),"Deep Learning and Computer Vision")</f>
        <v>Deep Learning and Computer Vision</v>
      </c>
      <c r="C550" s="8" t="str">
        <f>IFERROR(__xludf.DUMMYFUNCTION("""COMPUTED_VALUE"""),"Computer Vision revolutioniert die Tech-Branche. Möglich wird sie durch Deep Learning, eine leistungsstarke KI-Form. In diesem Kurs erfährst du, was Deep Learning ist und wie dadurch Technologien wie virtuelle Assistenten und Gesichtserkennung erst möglic"&amp;"h werden.")</f>
        <v>Computer Vision revolutioniert die Tech-Branche. Möglich wird sie durch Deep Learning, eine leistungsstarke KI-Form. In diesem Kurs erfährst du, was Deep Learning ist und wie dadurch Technologien wie virtuelle Assistenten und Gesichtserkennung erst möglich werden.</v>
      </c>
      <c r="D550" s="8" t="str">
        <f>IFERROR(__xludf.DUMMYFUNCTION("""COMPUTED_VALUE"""),"Computer vision is revolutionizing the tech industry. It is made possible through deep learning, a powerful form of AI. This course covers what deep learning is and how it is making technologies like virtual assistants and facial recognition possible.")</f>
        <v>Computer vision is revolutionizing the tech industry. It is made possible through deep learning, a powerful form of AI. This course covers what deep learning is and how it is making technologies like virtual assistants and facial recognition possible.</v>
      </c>
      <c r="E550" s="25" t="str">
        <f>IFERROR(__xludf.DUMMYFUNCTION("""COMPUTED_VALUE"""),"Digital Literacy")</f>
        <v>Digital Literacy</v>
      </c>
      <c r="F550" s="10" t="str">
        <f>IFERROR(__xludf.DUMMYFUNCTION("""COMPUTED_VALUE"""),"AI Academy - Gianluca Mauro")</f>
        <v>AI Academy - Gianluca Mauro</v>
      </c>
      <c r="G550" s="11">
        <f>IFERROR(__xludf.DUMMYFUNCTION("""COMPUTED_VALUE"""),70.0)</f>
        <v>70</v>
      </c>
      <c r="H550" s="11">
        <f>IFERROR(__xludf.DUMMYFUNCTION("""COMPUTED_VALUE"""),27.0)</f>
        <v>27</v>
      </c>
      <c r="I550" s="12" t="str">
        <f>IFERROR(__xludf.DUMMYFUNCTION("""COMPUTED_VALUE"""),"English, German")</f>
        <v>English, German</v>
      </c>
      <c r="J550" s="12" t="str">
        <f>IFERROR(__xludf.DUMMYFUNCTION("""COMPUTED_VALUE"""),"English")</f>
        <v>English</v>
      </c>
      <c r="K550" s="13">
        <f>IFERROR(__xludf.DUMMYFUNCTION("""COMPUTED_VALUE"""),44403.0)</f>
        <v>44403</v>
      </c>
      <c r="L550" s="14" t="str">
        <f>IFERROR(__xludf.DUMMYFUNCTION("""COMPUTED_VALUE"""),"https://masterplan.com/courses/deep-learning-und-computer-vision")</f>
        <v>https://masterplan.com/courses/deep-learning-und-computer-vision</v>
      </c>
    </row>
    <row r="551">
      <c r="A551" s="15" t="str">
        <f>IFERROR(__xludf.DUMMYFUNCTION("""COMPUTED_VALUE"""),"Einführung in moderne KI und maschinelles Lernen")</f>
        <v>Einführung in moderne KI und maschinelles Lernen</v>
      </c>
      <c r="B551" s="16" t="str">
        <f>IFERROR(__xludf.DUMMYFUNCTION("""COMPUTED_VALUE"""),"Introducing Modern AI and Machine Learning")</f>
        <v>Introducing Modern AI and Machine Learning</v>
      </c>
      <c r="C551" s="17" t="str">
        <f>IFERROR(__xludf.DUMMYFUNCTION("""COMPUTED_VALUE"""),"KI verändert die Welt, in der wir leben, aber was bedeutet das wirklich? In diesem Kurs lernst du moderne KI kennen und erfährst, wie KI mithilfe von maschinellem Lernen - einer Technologie, die die Einschränkungen anderer Software-Anwendungen umgeht - en"&amp;"twickelt wurde.")</f>
        <v>KI verändert die Welt, in der wir leben, aber was bedeutet das wirklich? In diesem Kurs lernst du moderne KI kennen und erfährst, wie KI mithilfe von maschinellem Lernen - einer Technologie, die die Einschränkungen anderer Software-Anwendungen umgeht - entwickelt wurde.</v>
      </c>
      <c r="D551" s="17" t="str">
        <f>IFERROR(__xludf.DUMMYFUNCTION("""COMPUTED_VALUE"""),"AI is changing the world we live in, but what does it really mean? This course teaches about modern AI and how it has been made possible through machine learning, a technology that overcame the limits traditional software placed on AI development.")</f>
        <v>AI is changing the world we live in, but what does it really mean? This course teaches about modern AI and how it has been made possible through machine learning, a technology that overcame the limits traditional software placed on AI development.</v>
      </c>
      <c r="E551" s="25" t="str">
        <f>IFERROR(__xludf.DUMMYFUNCTION("""COMPUTED_VALUE"""),"Digital Literacy")</f>
        <v>Digital Literacy</v>
      </c>
      <c r="F551" s="19" t="str">
        <f>IFERROR(__xludf.DUMMYFUNCTION("""COMPUTED_VALUE"""),"AI Academy - Gianluca Mauro")</f>
        <v>AI Academy - Gianluca Mauro</v>
      </c>
      <c r="G551" s="20">
        <f>IFERROR(__xludf.DUMMYFUNCTION("""COMPUTED_VALUE"""),72.0)</f>
        <v>72</v>
      </c>
      <c r="H551" s="20">
        <f>IFERROR(__xludf.DUMMYFUNCTION("""COMPUTED_VALUE"""),28.0)</f>
        <v>28</v>
      </c>
      <c r="I551" s="21" t="str">
        <f>IFERROR(__xludf.DUMMYFUNCTION("""COMPUTED_VALUE"""),"English, German")</f>
        <v>English, German</v>
      </c>
      <c r="J551" s="21" t="str">
        <f>IFERROR(__xludf.DUMMYFUNCTION("""COMPUTED_VALUE"""),"English")</f>
        <v>English</v>
      </c>
      <c r="K551" s="22">
        <f>IFERROR(__xludf.DUMMYFUNCTION("""COMPUTED_VALUE"""),44399.0)</f>
        <v>44399</v>
      </c>
      <c r="L551" s="23" t="str">
        <f>IFERROR(__xludf.DUMMYFUNCTION("""COMPUTED_VALUE"""),"https://masterplan.com/courses/einfuehrung-moderne-ki-und-maschinelles-lernen")</f>
        <v>https://masterplan.com/courses/einfuehrung-moderne-ki-und-maschinelles-lernen</v>
      </c>
    </row>
    <row r="552">
      <c r="A552" s="6" t="str">
        <f>IFERROR(__xludf.DUMMYFUNCTION("""COMPUTED_VALUE"""),"Denk wie eine Programmiererin")</f>
        <v>Denk wie eine Programmiererin</v>
      </c>
      <c r="B552" s="7" t="str">
        <f>IFERROR(__xludf.DUMMYFUNCTION("""COMPUTED_VALUE"""),"How To Think Like a Coder")</f>
        <v>How To Think Like a Coder</v>
      </c>
      <c r="C552" s="8" t="str">
        <f>IFERROR(__xludf.DUMMYFUNCTION("""COMPUTED_VALUE"""),"Die Erde wurde von Robotern übernommen. Jetzt liegt die Zukunft der Menschheit in den Händen von Ethic und ihrem Roboter, Hedge. Aber was hat das mit Programmieren zu tun? Löse gemeinsam mit Ethic und Hedge Aufgaben und sammle drei mächtige Artefakte, um "&amp;"die Menschheit zu retten.")</f>
        <v>Die Erde wurde von Robotern übernommen. Jetzt liegt die Zukunft der Menschheit in den Händen von Ethic und ihrem Roboter, Hedge. Aber was hat das mit Programmieren zu tun? Löse gemeinsam mit Ethic und Hedge Aufgaben und sammle drei mächtige Artefakte, um die Menschheit zu retten.</v>
      </c>
      <c r="D552" s="8" t="str">
        <f>IFERROR(__xludf.DUMMYFUNCTION("""COMPUTED_VALUE"""),"Robots have taken over the world and it’s up to Ethic – and her robot, Hedge – to set things right. But what does this have to do with coding? Join Ethic and Hedge as they use programming to solve their way through puzzles and collect 3 powerful artifacts"&amp;" that will save humanity.")</f>
        <v>Robots have taken over the world and it’s up to Ethic – and her robot, Hedge – to set things right. But what does this have to do with coding? Join Ethic and Hedge as they use programming to solve their way through puzzles and collect 3 powerful artifacts that will save humanity.</v>
      </c>
      <c r="E552" s="25" t="str">
        <f>IFERROR(__xludf.DUMMYFUNCTION("""COMPUTED_VALUE"""),"Digital Literacy")</f>
        <v>Digital Literacy</v>
      </c>
      <c r="F552" s="10" t="str">
        <f>IFERROR(__xludf.DUMMYFUNCTION("""COMPUTED_VALUE"""),"TED - Alex Rosenthal")</f>
        <v>TED - Alex Rosenthal</v>
      </c>
      <c r="G552" s="11">
        <f>IFERROR(__xludf.DUMMYFUNCTION("""COMPUTED_VALUE"""),74.0)</f>
        <v>74</v>
      </c>
      <c r="H552" s="11">
        <f>IFERROR(__xludf.DUMMYFUNCTION("""COMPUTED_VALUE"""),18.0)</f>
        <v>18</v>
      </c>
      <c r="I552" s="12" t="str">
        <f>IFERROR(__xludf.DUMMYFUNCTION("""COMPUTED_VALUE"""),"English, German")</f>
        <v>English, German</v>
      </c>
      <c r="J552" s="12" t="str">
        <f>IFERROR(__xludf.DUMMYFUNCTION("""COMPUTED_VALUE"""),"English")</f>
        <v>English</v>
      </c>
      <c r="K552" s="13">
        <f>IFERROR(__xludf.DUMMYFUNCTION("""COMPUTED_VALUE"""),44398.0)</f>
        <v>44398</v>
      </c>
      <c r="L552" s="14" t="str">
        <f>IFERROR(__xludf.DUMMYFUNCTION("""COMPUTED_VALUE"""),"https://masterplan.com/courses/denk-wie-eine-programmiererin")</f>
        <v>https://masterplan.com/courses/denk-wie-eine-programmiererin</v>
      </c>
    </row>
    <row r="553">
      <c r="A553" s="15" t="str">
        <f>IFERROR(__xludf.DUMMYFUNCTION("""COMPUTED_VALUE"""),"Wie KI Geschäftsprozesse verändert")</f>
        <v>Wie KI Geschäftsprozesse verändert</v>
      </c>
      <c r="B553" s="16" t="str">
        <f>IFERROR(__xludf.DUMMYFUNCTION("""COMPUTED_VALUE"""),"AI’s Transformative Effects on Business Processes")</f>
        <v>AI’s Transformative Effects on Business Processes</v>
      </c>
      <c r="C553" s="17" t="str">
        <f>IFERROR(__xludf.DUMMYFUNCTION("""COMPUTED_VALUE"""),"Mithilfe des Machine-Learnings kann KI innovative Veränderungen in deinen Geschäftsprozessen vornehmen. Um ein erfolgreiches Modell zu entwickeln, musst du die richtigen Metriken und Daten verwenden. Hier erfährst du, wie Google diese Prozesse angewendet "&amp;"hat.")</f>
        <v>Mithilfe des Machine-Learnings kann KI innovative Veränderungen in deinen Geschäftsprozessen vornehmen. Um ein erfolgreiches Modell zu entwickeln, musst du die richtigen Metriken und Daten verwenden. Hier erfährst du, wie Google diese Prozesse angewendet hat.</v>
      </c>
      <c r="D553" s="17" t="str">
        <f>IFERROR(__xludf.DUMMYFUNCTION("""COMPUTED_VALUE"""),"Through applying the tools of machine learning, AI can bring innovative transformations to your business processes. Creating a successful machine learning model depends on using the right metrics and data. See a real-world example of this process from Goo"&amp;"gle.")</f>
        <v>Through applying the tools of machine learning, AI can bring innovative transformations to your business processes. Creating a successful machine learning model depends on using the right metrics and data. See a real-world example of this process from Google.</v>
      </c>
      <c r="E553" s="25" t="str">
        <f>IFERROR(__xludf.DUMMYFUNCTION("""COMPUTED_VALUE"""),"Digital Literacy")</f>
        <v>Digital Literacy</v>
      </c>
      <c r="F553" s="19" t="str">
        <f>IFERROR(__xludf.DUMMYFUNCTION("""COMPUTED_VALUE"""),"AI Academy - Gianluca Mauro")</f>
        <v>AI Academy - Gianluca Mauro</v>
      </c>
      <c r="G553" s="20">
        <f>IFERROR(__xludf.DUMMYFUNCTION("""COMPUTED_VALUE"""),48.0)</f>
        <v>48</v>
      </c>
      <c r="H553" s="20">
        <f>IFERROR(__xludf.DUMMYFUNCTION("""COMPUTED_VALUE"""),15.0)</f>
        <v>15</v>
      </c>
      <c r="I553" s="21" t="str">
        <f>IFERROR(__xludf.DUMMYFUNCTION("""COMPUTED_VALUE"""),"English, German")</f>
        <v>English, German</v>
      </c>
      <c r="J553" s="21" t="str">
        <f>IFERROR(__xludf.DUMMYFUNCTION("""COMPUTED_VALUE"""),"English")</f>
        <v>English</v>
      </c>
      <c r="K553" s="22">
        <f>IFERROR(__xludf.DUMMYFUNCTION("""COMPUTED_VALUE"""),44397.0)</f>
        <v>44397</v>
      </c>
      <c r="L553" s="23" t="str">
        <f>IFERROR(__xludf.DUMMYFUNCTION("""COMPUTED_VALUE"""),"https://masterplan.com/courses/wie-ki-geschaeftsprozesse-veraendert")</f>
        <v>https://masterplan.com/courses/wie-ki-geschaeftsprozesse-veraendert</v>
      </c>
    </row>
    <row r="554">
      <c r="A554" s="6" t="str">
        <f>IFERROR(__xludf.DUMMYFUNCTION("""COMPUTED_VALUE"""),"Crashkurs: Die Grundlagen von Verkaufstechniken")</f>
        <v>Crashkurs: Die Grundlagen von Verkaufstechniken</v>
      </c>
      <c r="B554" s="7" t="str">
        <f>IFERROR(__xludf.DUMMYFUNCTION("""COMPUTED_VALUE"""),"Sales Skills: Crash Course")</f>
        <v>Sales Skills: Crash Course</v>
      </c>
      <c r="C554" s="8" t="str">
        <f>IFERROR(__xludf.DUMMYFUNCTION("""COMPUTED_VALUE"""),"In diesem Kurs geht es um die grundlegende Kommunikationstheorie sowie simple Strategien für E-Mails, das Aufbauen von Pipelines, Online-Meetings, den Umgang mit Einwänden und was du über dein Produkt und deine Kund:innen verstehen musst, um Erfolg zu hab"&amp;"en.")</f>
        <v>In diesem Kurs geht es um die grundlegende Kommunikationstheorie sowie simple Strategien für E-Mails, das Aufbauen von Pipelines, Online-Meetings, den Umgang mit Einwänden und was du über dein Produkt und deine Kund:innen verstehen musst, um Erfolg zu haben.</v>
      </c>
      <c r="D554" s="8" t="str">
        <f>IFERROR(__xludf.DUMMYFUNCTION("""COMPUTED_VALUE"""),"How do you communicate with potential customers? Learn the basic theory and simple strategies for emails, building pipelines, online meetings, handling objections, and what you need to understand about your product and your customer to make your solution "&amp;"successful.")</f>
        <v>How do you communicate with potential customers? Learn the basic theory and simple strategies for emails, building pipelines, online meetings, handling objections, and what you need to understand about your product and your customer to make your solution successful.</v>
      </c>
      <c r="E554" s="9" t="str">
        <f>IFERROR(__xludf.DUMMYFUNCTION("""COMPUTED_VALUE"""),"Global Citizenship")</f>
        <v>Global Citizenship</v>
      </c>
      <c r="F554" s="10" t="str">
        <f>IFERROR(__xludf.DUMMYFUNCTION("""COMPUTED_VALUE"""),"Winning By Design - Dan Smith")</f>
        <v>Winning By Design - Dan Smith</v>
      </c>
      <c r="G554" s="11">
        <f>IFERROR(__xludf.DUMMYFUNCTION("""COMPUTED_VALUE"""),58.0)</f>
        <v>58</v>
      </c>
      <c r="H554" s="11">
        <f>IFERROR(__xludf.DUMMYFUNCTION("""COMPUTED_VALUE"""),24.0)</f>
        <v>24</v>
      </c>
      <c r="I554" s="12" t="str">
        <f>IFERROR(__xludf.DUMMYFUNCTION("""COMPUTED_VALUE"""),"English, German")</f>
        <v>English, German</v>
      </c>
      <c r="J554" s="12" t="str">
        <f>IFERROR(__xludf.DUMMYFUNCTION("""COMPUTED_VALUE"""),"English")</f>
        <v>English</v>
      </c>
      <c r="K554" s="13">
        <f>IFERROR(__xludf.DUMMYFUNCTION("""COMPUTED_VALUE"""),44391.0)</f>
        <v>44391</v>
      </c>
      <c r="L554" s="14" t="str">
        <f>IFERROR(__xludf.DUMMYFUNCTION("""COMPUTED_VALUE"""),"https://masterplan.com/courses/crashkurs-die-grundlagen-von-verkaufstechniken")</f>
        <v>https://masterplan.com/courses/crashkurs-die-grundlagen-von-verkaufstechniken</v>
      </c>
    </row>
    <row r="555">
      <c r="A555" s="15" t="str">
        <f>IFERROR(__xludf.DUMMYFUNCTION("""COMPUTED_VALUE"""),"Geschäfte erfolgreich abschließen: Stakeholder-Meetings")</f>
        <v>Geschäfte erfolgreich abschließen: Stakeholder-Meetings</v>
      </c>
      <c r="B555" s="16" t="str">
        <f>IFERROR(__xludf.DUMMYFUNCTION("""COMPUTED_VALUE"""),"Seal the Deal with a Stakeholder Meeting")</f>
        <v>Seal the Deal with a Stakeholder Meeting</v>
      </c>
      <c r="C555" s="17" t="str">
        <f>IFERROR(__xludf.DUMMYFUNCTION("""COMPUTED_VALUE"""),"Nach all der harten Arbeit hast du endlich alle Stakeholder in einem Raum beisammen - wie holst du nun das Beste heraus? In diesem Kurs zeigt dir Dan Smith, wie du Stakeholder für dich gewinnst und ihnen die Informationen gibst, die sie zum Vertragsabschl"&amp;"uss bewegen.")</f>
        <v>Nach all der harten Arbeit hast du endlich alle Stakeholder in einem Raum beisammen - wie holst du nun das Beste heraus? In diesem Kurs zeigt dir Dan Smith, wie du Stakeholder für dich gewinnst und ihnen die Informationen gibst, die sie zum Vertragsabschluss bewegen.</v>
      </c>
      <c r="D555" s="17" t="str">
        <f>IFERROR(__xludf.DUMMYFUNCTION("""COMPUTED_VALUE"""),"After all your hard work, you've finally got the stakeholders in a room – so how do you make the most of it? In this course, Dan Smith teaches you some best practices for engaging with stakeholders and giving them the information they need to move forward"&amp;" with your deal.")</f>
        <v>After all your hard work, you've finally got the stakeholders in a room – so how do you make the most of it? In this course, Dan Smith teaches you some best practices for engaging with stakeholders and giving them the information they need to move forward with your deal.</v>
      </c>
      <c r="E555" s="9" t="str">
        <f>IFERROR(__xludf.DUMMYFUNCTION("""COMPUTED_VALUE"""),"Global Citizenship")</f>
        <v>Global Citizenship</v>
      </c>
      <c r="F555" s="19" t="str">
        <f>IFERROR(__xludf.DUMMYFUNCTION("""COMPUTED_VALUE"""),"Winning By Design - Dan Smith")</f>
        <v>Winning By Design - Dan Smith</v>
      </c>
      <c r="G555" s="20">
        <f>IFERROR(__xludf.DUMMYFUNCTION("""COMPUTED_VALUE"""),19.0)</f>
        <v>19</v>
      </c>
      <c r="H555" s="20">
        <f>IFERROR(__xludf.DUMMYFUNCTION("""COMPUTED_VALUE"""),17.0)</f>
        <v>17</v>
      </c>
      <c r="I555" s="21" t="str">
        <f>IFERROR(__xludf.DUMMYFUNCTION("""COMPUTED_VALUE"""),"English, German")</f>
        <v>English, German</v>
      </c>
      <c r="J555" s="21" t="str">
        <f>IFERROR(__xludf.DUMMYFUNCTION("""COMPUTED_VALUE"""),"English")</f>
        <v>English</v>
      </c>
      <c r="K555" s="22">
        <f>IFERROR(__xludf.DUMMYFUNCTION("""COMPUTED_VALUE"""),44386.0)</f>
        <v>44386</v>
      </c>
      <c r="L555" s="23" t="str">
        <f>IFERROR(__xludf.DUMMYFUNCTION("""COMPUTED_VALUE"""),"https://masterplan.com/courses/stakeholder-meetings")</f>
        <v>https://masterplan.com/courses/stakeholder-meetings</v>
      </c>
    </row>
    <row r="556">
      <c r="A556" s="6" t="str">
        <f>IFERROR(__xludf.DUMMYFUNCTION("""COMPUTED_VALUE"""),"Mit Impact verkaufen: Einflussreiche Angebote schreiben")</f>
        <v>Mit Impact verkaufen: Einflussreiche Angebote schreiben</v>
      </c>
      <c r="B556" s="7" t="str">
        <f>IFERROR(__xludf.DUMMYFUNCTION("""COMPUTED_VALUE"""),"Delivering Impact: How To Build an Impact Proposal")</f>
        <v>Delivering Impact: How To Build an Impact Proposal</v>
      </c>
      <c r="C556" s="8" t="str">
        <f>IFERROR(__xludf.DUMMYFUNCTION("""COMPUTED_VALUE"""),"Was ist an traditionellen Verkaufsangeboten auszusetzen? Wir fixieren uns darauf, die perfekte Lösung zu haben und vergessen dabei, welche Auswirkungen sie auf das Geschäft haben könnte. So kannst du Kund:innen von dem Mehrwert eines einflusreichen Angebo"&amp;"ts überzeugen!")</f>
        <v>Was ist an traditionellen Verkaufsangeboten auszusetzen? Wir fixieren uns darauf, die perfekte Lösung zu haben und vergessen dabei, welche Auswirkungen sie auf das Geschäft haben könnte. So kannst du Kund:innen von dem Mehrwert eines einflusreichen Angebots überzeugen!</v>
      </c>
      <c r="D556" s="8" t="str">
        <f>IFERROR(__xludf.DUMMYFUNCTION("""COMPUTED_VALUE"""),"What's wrong with traditional Sales proposals? Too often, we're so focused on how perfect our solution is that we forget about the impact it could have on the customer and their business. Learn how to communicate value to your customers with the perfect I"&amp;"mpact Proposal!")</f>
        <v>What's wrong with traditional Sales proposals? Too often, we're so focused on how perfect our solution is that we forget about the impact it could have on the customer and their business. Learn how to communicate value to your customers with the perfect Impact Proposal!</v>
      </c>
      <c r="E556" s="9" t="str">
        <f>IFERROR(__xludf.DUMMYFUNCTION("""COMPUTED_VALUE"""),"Global Citizenship")</f>
        <v>Global Citizenship</v>
      </c>
      <c r="F556" s="10" t="str">
        <f>IFERROR(__xludf.DUMMYFUNCTION("""COMPUTED_VALUE"""),"Winning By Design - Dan Smith")</f>
        <v>Winning By Design - Dan Smith</v>
      </c>
      <c r="G556" s="11">
        <f>IFERROR(__xludf.DUMMYFUNCTION("""COMPUTED_VALUE"""),19.0)</f>
        <v>19</v>
      </c>
      <c r="H556" s="11">
        <f>IFERROR(__xludf.DUMMYFUNCTION("""COMPUTED_VALUE"""),15.0)</f>
        <v>15</v>
      </c>
      <c r="I556" s="12" t="str">
        <f>IFERROR(__xludf.DUMMYFUNCTION("""COMPUTED_VALUE"""),"English, German")</f>
        <v>English, German</v>
      </c>
      <c r="J556" s="12" t="str">
        <f>IFERROR(__xludf.DUMMYFUNCTION("""COMPUTED_VALUE"""),"English")</f>
        <v>English</v>
      </c>
      <c r="K556" s="13">
        <f>IFERROR(__xludf.DUMMYFUNCTION("""COMPUTED_VALUE"""),44384.0)</f>
        <v>44384</v>
      </c>
      <c r="L556" s="14" t="str">
        <f>IFERROR(__xludf.DUMMYFUNCTION("""COMPUTED_VALUE"""),"https://masterplan.com/courses/mit-impact-verkaufen-einflussreiche-angebote-schreiben")</f>
        <v>https://masterplan.com/courses/mit-impact-verkaufen-einflussreiche-angebote-schreiben</v>
      </c>
    </row>
    <row r="557">
      <c r="A557" s="15" t="str">
        <f>IFERROR(__xludf.DUMMYFUNCTION("""COMPUTED_VALUE"""),"Kundenbeziehungen online aufbauen")</f>
        <v>Kundenbeziehungen online aufbauen</v>
      </c>
      <c r="B557" s="16" t="str">
        <f>IFERROR(__xludf.DUMMYFUNCTION("""COMPUTED_VALUE"""),"Developing Relationships with Customers Online")</f>
        <v>Developing Relationships with Customers Online</v>
      </c>
      <c r="C557" s="17" t="str">
        <f>IFERROR(__xludf.DUMMYFUNCTION("""COMPUTED_VALUE"""),"Wie baust du eine berufliche Beziehung zu jemandem auf, den du noch nicht kennst? In diesem Kurs erfährst du praktische Tipps zur Recherche und Kommunikation mit Kund:innen, damit diese Interesse an dir und deiner Lösung für ihr Problem entwickeln.")</f>
        <v>Wie baust du eine berufliche Beziehung zu jemandem auf, den du noch nicht kennst? In diesem Kurs erfährst du praktische Tipps zur Recherche und Kommunikation mit Kund:innen, damit diese Interesse an dir und deiner Lösung für ihr Problem entwickeln.</v>
      </c>
      <c r="D557" s="17" t="str">
        <f>IFERROR(__xludf.DUMMYFUNCTION("""COMPUTED_VALUE"""),"How can you build a professional relationship with someone you've never even met? In this course, you'll learn practical tips for how to research, reach out, and connect with customers so they'll want to engage with you and hear your expert solutions to t"&amp;"heir problems.")</f>
        <v>How can you build a professional relationship with someone you've never even met? In this course, you'll learn practical tips for how to research, reach out, and connect with customers so they'll want to engage with you and hear your expert solutions to their problems.</v>
      </c>
      <c r="E557" s="9" t="str">
        <f>IFERROR(__xludf.DUMMYFUNCTION("""COMPUTED_VALUE"""),"Global Citizenship")</f>
        <v>Global Citizenship</v>
      </c>
      <c r="F557" s="19" t="str">
        <f>IFERROR(__xludf.DUMMYFUNCTION("""COMPUTED_VALUE"""),"Winning By Design - Dan Smith")</f>
        <v>Winning By Design - Dan Smith</v>
      </c>
      <c r="G557" s="20">
        <f>IFERROR(__xludf.DUMMYFUNCTION("""COMPUTED_VALUE"""),19.0)</f>
        <v>19</v>
      </c>
      <c r="H557" s="20">
        <f>IFERROR(__xludf.DUMMYFUNCTION("""COMPUTED_VALUE"""),15.0)</f>
        <v>15</v>
      </c>
      <c r="I557" s="21" t="str">
        <f>IFERROR(__xludf.DUMMYFUNCTION("""COMPUTED_VALUE"""),"English, German")</f>
        <v>English, German</v>
      </c>
      <c r="J557" s="21" t="str">
        <f>IFERROR(__xludf.DUMMYFUNCTION("""COMPUTED_VALUE"""),"English")</f>
        <v>English</v>
      </c>
      <c r="K557" s="22">
        <f>IFERROR(__xludf.DUMMYFUNCTION("""COMPUTED_VALUE"""),44384.0)</f>
        <v>44384</v>
      </c>
      <c r="L557" s="23" t="str">
        <f>IFERROR(__xludf.DUMMYFUNCTION("""COMPUTED_VALUE"""),"https://masterplan.com/courses/kundenbeziehungen-online-aufbauen")</f>
        <v>https://masterplan.com/courses/kundenbeziehungen-online-aufbauen</v>
      </c>
    </row>
    <row r="558">
      <c r="A558" s="6" t="str">
        <f>IFERROR(__xludf.DUMMYFUNCTION("""COMPUTED_VALUE"""),"Klar denken und entscheiden")</f>
        <v>Klar denken und entscheiden</v>
      </c>
      <c r="B558" s="7" t="str">
        <f>IFERROR(__xludf.DUMMYFUNCTION("""COMPUTED_VALUE"""),"Train Your Decision Making")</f>
        <v>Train Your Decision Making</v>
      </c>
      <c r="C558" s="8" t="str">
        <f>IFERROR(__xludf.DUMMYFUNCTION("""COMPUTED_VALUE"""),"Stress, eigene Schwächen und Gruppendruck stehen kritischem Denken und Entscheidungsprozessen oftmals im Weg. In diesem Kurs lernst du, wie Führungspersonen ein Arbeitsumfeld schaffen können, das kreatives und kritisches Denken fördert.")</f>
        <v>Stress, eigene Schwächen und Gruppendruck stehen kritischem Denken und Entscheidungsprozessen oftmals im Weg. In diesem Kurs lernst du, wie Führungspersonen ein Arbeitsumfeld schaffen können, das kreatives und kritisches Denken fördert.</v>
      </c>
      <c r="D558" s="8" t="str">
        <f>IFERROR(__xludf.DUMMYFUNCTION("""COMPUTED_VALUE"""),"Stress, blind spots, and peer pressure are some of the greatest inhibitors of critical thinking and good decision-making. In this course, you'll learn what managers can do to create a better working environment where creative and critical thinking can flo"&amp;"urish.")</f>
        <v>Stress, blind spots, and peer pressure are some of the greatest inhibitors of critical thinking and good decision-making. In this course, you'll learn what managers can do to create a better working environment where creative and critical thinking can flourish.</v>
      </c>
      <c r="E558" s="29" t="str">
        <f>IFERROR(__xludf.DUMMYFUNCTION("""COMPUTED_VALUE"""),"Thinking and Deciding Clearly")</f>
        <v>Thinking and Deciding Clearly</v>
      </c>
      <c r="F558" s="10" t="str">
        <f>IFERROR(__xludf.DUMMYFUNCTION("""COMPUTED_VALUE"""),"Rapid Learning – a bts company")</f>
        <v>Rapid Learning – a bts company</v>
      </c>
      <c r="G558" s="11">
        <f>IFERROR(__xludf.DUMMYFUNCTION("""COMPUTED_VALUE"""),20.0)</f>
        <v>20</v>
      </c>
      <c r="H558" s="11">
        <f>IFERROR(__xludf.DUMMYFUNCTION("""COMPUTED_VALUE"""),11.0)</f>
        <v>11</v>
      </c>
      <c r="I558" s="12" t="str">
        <f>IFERROR(__xludf.DUMMYFUNCTION("""COMPUTED_VALUE"""),"English, German")</f>
        <v>English, German</v>
      </c>
      <c r="J558" s="12" t="str">
        <f>IFERROR(__xludf.DUMMYFUNCTION("""COMPUTED_VALUE"""),"English, German")</f>
        <v>English, German</v>
      </c>
      <c r="K558" s="13">
        <f>IFERROR(__xludf.DUMMYFUNCTION("""COMPUTED_VALUE"""),44380.0)</f>
        <v>44380</v>
      </c>
      <c r="L558" s="14" t="str">
        <f>IFERROR(__xludf.DUMMYFUNCTION("""COMPUTED_VALUE"""),"https://masterplan.com/courses/klar-denken-und-entscheiden")</f>
        <v>https://masterplan.com/courses/klar-denken-und-entscheiden</v>
      </c>
    </row>
    <row r="559">
      <c r="A559" s="15" t="str">
        <f>IFERROR(__xludf.DUMMYFUNCTION("""COMPUTED_VALUE"""),"Engagement in Online-Demos fördern")</f>
        <v>Engagement in Online-Demos fördern</v>
      </c>
      <c r="B559" s="16" t="str">
        <f>IFERROR(__xludf.DUMMYFUNCTION("""COMPUTED_VALUE"""),"Building Engagement in an Online Demo")</f>
        <v>Building Engagement in an Online Demo</v>
      </c>
      <c r="C559" s="17" t="str">
        <f>IFERROR(__xludf.DUMMYFUNCTION("""COMPUTED_VALUE"""),"Produktvorführungen gehören zu den effektivsten Methoden des Vertriebs. Doch wie wird deine Demo interessant und ein richtiger Erfolg? In diesem Kurs erfährst du, wie du deine Kunden auch digital von deinen Produkten überzeugst und die nächsten Schritte e"&amp;"inleitest.")</f>
        <v>Produktvorführungen gehören zu den effektivsten Methoden des Vertriebs. Doch wie wird deine Demo interessant und ein richtiger Erfolg? In diesem Kurs erfährst du, wie du deine Kunden auch digital von deinen Produkten überzeugst und die nächsten Schritte einleitest.</v>
      </c>
      <c r="D559" s="17" t="str">
        <f>IFERROR(__xludf.DUMMYFUNCTION("""COMPUTED_VALUE"""),"One of the best ways to close a deal is to show your customers your product in action, but how can you make sure your demo is engaging and effective? In this course, you'll learn practical tips for screensharing, building consensus, and establishing the n"&amp;"ext steps.")</f>
        <v>One of the best ways to close a deal is to show your customers your product in action, but how can you make sure your demo is engaging and effective? In this course, you'll learn practical tips for screensharing, building consensus, and establishing the next steps.</v>
      </c>
      <c r="E559" s="9" t="str">
        <f>IFERROR(__xludf.DUMMYFUNCTION("""COMPUTED_VALUE"""),"Global Citizenship")</f>
        <v>Global Citizenship</v>
      </c>
      <c r="F559" s="19" t="str">
        <f>IFERROR(__xludf.DUMMYFUNCTION("""COMPUTED_VALUE"""),"Winning By Design - Dan Smith")</f>
        <v>Winning By Design - Dan Smith</v>
      </c>
      <c r="G559" s="20">
        <f>IFERROR(__xludf.DUMMYFUNCTION("""COMPUTED_VALUE"""),16.0)</f>
        <v>16</v>
      </c>
      <c r="H559" s="20">
        <f>IFERROR(__xludf.DUMMYFUNCTION("""COMPUTED_VALUE"""),19.0)</f>
        <v>19</v>
      </c>
      <c r="I559" s="21" t="str">
        <f>IFERROR(__xludf.DUMMYFUNCTION("""COMPUTED_VALUE"""),"English, German")</f>
        <v>English, German</v>
      </c>
      <c r="J559" s="21" t="str">
        <f>IFERROR(__xludf.DUMMYFUNCTION("""COMPUTED_VALUE"""),"English")</f>
        <v>English</v>
      </c>
      <c r="K559" s="22">
        <f>IFERROR(__xludf.DUMMYFUNCTION("""COMPUTED_VALUE"""),44379.0)</f>
        <v>44379</v>
      </c>
      <c r="L559" s="23" t="str">
        <f>IFERROR(__xludf.DUMMYFUNCTION("""COMPUTED_VALUE"""),"https://masterplan.com/courses/engagement-in-online-demos")</f>
        <v>https://masterplan.com/courses/engagement-in-online-demos</v>
      </c>
    </row>
    <row r="560">
      <c r="A560" s="6" t="str">
        <f>IFERROR(__xludf.DUMMYFUNCTION("""COMPUTED_VALUE"""),"Ein guter Start: Mitarbeitende onboarden und binden")</f>
        <v>Ein guter Start: Mitarbeitende onboarden und binden</v>
      </c>
      <c r="B560" s="7" t="str">
        <f>IFERROR(__xludf.DUMMYFUNCTION("""COMPUTED_VALUE"""),"Onboarding and Retention: What Makes Employees Stay")</f>
        <v>Onboarding and Retention: What Makes Employees Stay</v>
      </c>
      <c r="C560" s="8" t="str">
        <f>IFERROR(__xludf.DUMMYFUNCTION("""COMPUTED_VALUE"""),"Du hast die richtige:n Kandidat:innen für dein Team gefunden und bist bereit, sie einzuarbeiten. Doch Vorsicht! Das Onboarding kann beeinflussen, ob sich neue Mitarbeitende binden. Lerne, wie du sie so unterstützt und motivierst, dass sie erfolgreich werd"&amp;"en.")</f>
        <v>Du hast die richtige:n Kandidat:innen für dein Team gefunden und bist bereit, sie einzuarbeiten. Doch Vorsicht! Das Onboarding kann beeinflussen, ob sich neue Mitarbeitende binden. Lerne, wie du sie so unterstützt und motivierst, dass sie erfolgreich werden.</v>
      </c>
      <c r="D560" s="8" t="str">
        <f>IFERROR(__xludf.DUMMYFUNCTION("""COMPUTED_VALUE"""),"You've finally found a great candidate for your team and you're ready to put them to work. Not so fast! As it turns out, onboarding can determine whether your new hire will stick around. Learn how to set up new hires for success and keep your team motivat"&amp;"ed and engaged.")</f>
        <v>You've finally found a great candidate for your team and you're ready to put them to work. Not so fast! As it turns out, onboarding can determine whether your new hire will stick around. Learn how to set up new hires for success and keep your team motivated and engaged.</v>
      </c>
      <c r="E560" s="9" t="str">
        <f>IFERROR(__xludf.DUMMYFUNCTION("""COMPUTED_VALUE"""),"Global Citizenship")</f>
        <v>Global Citizenship</v>
      </c>
      <c r="F560" s="10" t="str">
        <f>IFERROR(__xludf.DUMMYFUNCTION("""COMPUTED_VALUE"""),"Rapid Learning – a bts company")</f>
        <v>Rapid Learning – a bts company</v>
      </c>
      <c r="G560" s="11">
        <f>IFERROR(__xludf.DUMMYFUNCTION("""COMPUTED_VALUE"""),39.0)</f>
        <v>39</v>
      </c>
      <c r="H560" s="11">
        <f>IFERROR(__xludf.DUMMYFUNCTION("""COMPUTED_VALUE"""),20.0)</f>
        <v>20</v>
      </c>
      <c r="I560" s="12" t="str">
        <f>IFERROR(__xludf.DUMMYFUNCTION("""COMPUTED_VALUE"""),"English, German")</f>
        <v>English, German</v>
      </c>
      <c r="J560" s="12" t="str">
        <f>IFERROR(__xludf.DUMMYFUNCTION("""COMPUTED_VALUE"""),"English, German")</f>
        <v>English, German</v>
      </c>
      <c r="K560" s="13">
        <f>IFERROR(__xludf.DUMMYFUNCTION("""COMPUTED_VALUE"""),44371.0)</f>
        <v>44371</v>
      </c>
      <c r="L560" s="14" t="str">
        <f>IFERROR(__xludf.DUMMYFUNCTION("""COMPUTED_VALUE"""),"https://masterplan.com/courses/ein-guter-start-mitarbeitende-onboarden-und-binden")</f>
        <v>https://masterplan.com/courses/ein-guter-start-mitarbeitende-onboarden-und-binden</v>
      </c>
    </row>
    <row r="561">
      <c r="A561" s="15" t="str">
        <f>IFERROR(__xludf.DUMMYFUNCTION("""COMPUTED_VALUE"""),"Transparente Führung")</f>
        <v>Transparente Führung</v>
      </c>
      <c r="B561" s="16" t="str">
        <f>IFERROR(__xludf.DUMMYFUNCTION("""COMPUTED_VALUE"""),"Transparent Leadership")</f>
        <v>Transparent Leadership</v>
      </c>
      <c r="C561" s="17" t="str">
        <f>IFERROR(__xludf.DUMMYFUNCTION("""COMPUTED_VALUE"""),"Bei der Führung eines Teams solltest du klare Botschaften senden. Bei richtiger Wortwahl, aber dem falschen Ansatz, ist deine Botschaft so gut wie verloren! Erfahre, wie du deine Führungsstile erweitern und die Stärken von Transparenz und Berechenbarkeit "&amp;"nutzen kannst.")</f>
        <v>Bei der Führung eines Teams solltest du klare Botschaften senden. Bei richtiger Wortwahl, aber dem falschen Ansatz, ist deine Botschaft so gut wie verloren! Erfahre, wie du deine Führungsstile erweitern und die Stärken von Transparenz und Berechenbarkeit nutzen kannst.</v>
      </c>
      <c r="D561" s="17" t="str">
        <f>IFERROR(__xludf.DUMMYFUNCTION("""COMPUTED_VALUE"""),"When it comes to leading your team, you want to send clear messages. If you've got the right words, but you're using the wrong approach, your message is as good as gone! Learn to broaden your leadership styles, and harness the powers of transparency and p"&amp;"redictability.")</f>
        <v>When it comes to leading your team, you want to send clear messages. If you've got the right words, but you're using the wrong approach, your message is as good as gone! Learn to broaden your leadership styles, and harness the powers of transparency and predictability.</v>
      </c>
      <c r="E561" s="26" t="str">
        <f>IFERROR(__xludf.DUMMYFUNCTION("""COMPUTED_VALUE"""),"Collaboration and Leadership")</f>
        <v>Collaboration and Leadership</v>
      </c>
      <c r="F561" s="19" t="str">
        <f>IFERROR(__xludf.DUMMYFUNCTION("""COMPUTED_VALUE"""),"Rapid Learning – a bts company")</f>
        <v>Rapid Learning – a bts company</v>
      </c>
      <c r="G561" s="20">
        <f>IFERROR(__xludf.DUMMYFUNCTION("""COMPUTED_VALUE"""),22.0)</f>
        <v>22</v>
      </c>
      <c r="H561" s="20">
        <f>IFERROR(__xludf.DUMMYFUNCTION("""COMPUTED_VALUE"""),11.0)</f>
        <v>11</v>
      </c>
      <c r="I561" s="21" t="str">
        <f>IFERROR(__xludf.DUMMYFUNCTION("""COMPUTED_VALUE"""),"English, German")</f>
        <v>English, German</v>
      </c>
      <c r="J561" s="21" t="str">
        <f>IFERROR(__xludf.DUMMYFUNCTION("""COMPUTED_VALUE"""),"English, German")</f>
        <v>English, German</v>
      </c>
      <c r="K561" s="22">
        <f>IFERROR(__xludf.DUMMYFUNCTION("""COMPUTED_VALUE"""),44371.0)</f>
        <v>44371</v>
      </c>
      <c r="L561" s="23" t="str">
        <f>IFERROR(__xludf.DUMMYFUNCTION("""COMPUTED_VALUE"""),"https://masterplan.com/courses/transparente-fuehrung")</f>
        <v>https://masterplan.com/courses/transparente-fuehrung</v>
      </c>
    </row>
    <row r="562">
      <c r="A562" s="6" t="str">
        <f>IFERROR(__xludf.DUMMYFUNCTION("""COMPUTED_VALUE"""),"Verantwortung und Motivation in neuen Teams ")</f>
        <v>Verantwortung und Motivation in neuen Teams </v>
      </c>
      <c r="B562" s="7" t="str">
        <f>IFERROR(__xludf.DUMMYFUNCTION("""COMPUTED_VALUE"""),"How to Make People Feel Responsible and Motivated")</f>
        <v>How to Make People Feel Responsible and Motivated</v>
      </c>
      <c r="C562" s="8" t="str">
        <f>IFERROR(__xludf.DUMMYFUNCTION("""COMPUTED_VALUE"""),"Warum motivieren uns Ziele und wie können wir erfolgreich auf diese hinarbeiten? In diesem Kurs lernst du Faktoren kennen, die Motivation und Zielsetzung beeinflussen. Zudem erfährst du, wie du Mitarbeitenden Freiheiten gibst und sie gleichzeitig zur Vera"&amp;"ntwortung ziehst.")</f>
        <v>Warum motivieren uns Ziele und wie können wir erfolgreich auf diese hinarbeiten? In diesem Kurs lernst du Faktoren kennen, die Motivation und Zielsetzung beeinflussen. Zudem erfährst du, wie du Mitarbeitenden Freiheiten gibst und sie gleichzeitig zur Verantwortung ziehst.</v>
      </c>
      <c r="D562" s="8" t="str">
        <f>IFERROR(__xludf.DUMMYFUNCTION("""COMPUTED_VALUE"""),"What motivates us when setting goals, and how can we set ourselves up for success to reach those goals? In this course, you'll learn research-driven factors related to motivation and goal-setting, and how to empower your team members while holding them ac"&amp;"countable.")</f>
        <v>What motivates us when setting goals, and how can we set ourselves up for success to reach those goals? In this course, you'll learn research-driven factors related to motivation and goal-setting, and how to empower your team members while holding them accountable.</v>
      </c>
      <c r="E562" s="26" t="str">
        <f>IFERROR(__xludf.DUMMYFUNCTION("""COMPUTED_VALUE"""),"Collaboration and Leadership")</f>
        <v>Collaboration and Leadership</v>
      </c>
      <c r="F562" s="10" t="str">
        <f>IFERROR(__xludf.DUMMYFUNCTION("""COMPUTED_VALUE"""),"Rapid Learning – a bts company")</f>
        <v>Rapid Learning – a bts company</v>
      </c>
      <c r="G562" s="11">
        <f>IFERROR(__xludf.DUMMYFUNCTION("""COMPUTED_VALUE"""),24.0)</f>
        <v>24</v>
      </c>
      <c r="H562" s="11">
        <f>IFERROR(__xludf.DUMMYFUNCTION("""COMPUTED_VALUE"""),16.0)</f>
        <v>16</v>
      </c>
      <c r="I562" s="12" t="str">
        <f>IFERROR(__xludf.DUMMYFUNCTION("""COMPUTED_VALUE"""),"English, German")</f>
        <v>English, German</v>
      </c>
      <c r="J562" s="12" t="str">
        <f>IFERROR(__xludf.DUMMYFUNCTION("""COMPUTED_VALUE"""),"English, German")</f>
        <v>English, German</v>
      </c>
      <c r="K562" s="13">
        <f>IFERROR(__xludf.DUMMYFUNCTION("""COMPUTED_VALUE"""),44369.0)</f>
        <v>44369</v>
      </c>
      <c r="L562" s="14" t="str">
        <f>IFERROR(__xludf.DUMMYFUNCTION("""COMPUTED_VALUE"""),"https://masterplan.com/courses/verantwortung-und-motivation-in-neuen-teams")</f>
        <v>https://masterplan.com/courses/verantwortung-und-motivation-in-neuen-teams</v>
      </c>
    </row>
    <row r="563">
      <c r="A563" s="15" t="str">
        <f>IFERROR(__xludf.DUMMYFUNCTION("""COMPUTED_VALUE"""),"Kundengespräche online erfolgreich führen")</f>
        <v>Kundengespräche online erfolgreich führen</v>
      </c>
      <c r="B563" s="16" t="str">
        <f>IFERROR(__xludf.DUMMYFUNCTION("""COMPUTED_VALUE"""),"Engaging Your Customers in Online Meetings")</f>
        <v>Engaging Your Customers in Online Meetings</v>
      </c>
      <c r="C563" s="17" t="str">
        <f>IFERROR(__xludf.DUMMYFUNCTION("""COMPUTED_VALUE"""),"Persönlichen Kontakt über einen Computerbildschirm zu erzeugen, scheint fast unmöglich. Wie kann man dann mit Kunden dennoch eine persönliche Verbindung herstellen? In diesem Kurs lernst du, wie du erfolgreiche Online-Meetings abhältst, die Interesse erwe"&amp;"cken.")</f>
        <v>Persönlichen Kontakt über einen Computerbildschirm zu erzeugen, scheint fast unmöglich. Wie kann man dann mit Kunden dennoch eine persönliche Verbindung herstellen? In diesem Kurs lernst du, wie du erfolgreiche Online-Meetings abhältst, die Interesse erwecken.</v>
      </c>
      <c r="D563" s="17" t="str">
        <f>IFERROR(__xludf.DUMMYFUNCTION("""COMPUTED_VALUE"""),"Connection behind a computer screen seems almost impossible, so how can we engage with customers when we can't meet face-to-face? In this course, you'll learn key tips for successful online meetings where everyone is interested, involved, and invested in "&amp;"the next step.")</f>
        <v>Connection behind a computer screen seems almost impossible, so how can we engage with customers when we can't meet face-to-face? In this course, you'll learn key tips for successful online meetings where everyone is interested, involved, and invested in the next step.</v>
      </c>
      <c r="E563" s="9" t="str">
        <f>IFERROR(__xludf.DUMMYFUNCTION("""COMPUTED_VALUE"""),"Global Citizenship")</f>
        <v>Global Citizenship</v>
      </c>
      <c r="F563" s="19" t="str">
        <f>IFERROR(__xludf.DUMMYFUNCTION("""COMPUTED_VALUE"""),"Winning By Design - Dan Smith")</f>
        <v>Winning By Design - Dan Smith</v>
      </c>
      <c r="G563" s="20">
        <f>IFERROR(__xludf.DUMMYFUNCTION("""COMPUTED_VALUE"""),29.0)</f>
        <v>29</v>
      </c>
      <c r="H563" s="20">
        <f>IFERROR(__xludf.DUMMYFUNCTION("""COMPUTED_VALUE"""),17.0)</f>
        <v>17</v>
      </c>
      <c r="I563" s="21" t="str">
        <f>IFERROR(__xludf.DUMMYFUNCTION("""COMPUTED_VALUE"""),"English, German")</f>
        <v>English, German</v>
      </c>
      <c r="J563" s="21" t="str">
        <f>IFERROR(__xludf.DUMMYFUNCTION("""COMPUTED_VALUE"""),"English")</f>
        <v>English</v>
      </c>
      <c r="K563" s="22">
        <f>IFERROR(__xludf.DUMMYFUNCTION("""COMPUTED_VALUE"""),44364.0)</f>
        <v>44364</v>
      </c>
      <c r="L563" s="23" t="str">
        <f>IFERROR(__xludf.DUMMYFUNCTION("""COMPUTED_VALUE"""),"https://masterplan.com/courses/kundengespraeche-online-erfolgreich-fuehren")</f>
        <v>https://masterplan.com/courses/kundengespraeche-online-erfolgreich-fuehren</v>
      </c>
    </row>
    <row r="564">
      <c r="A564" s="6" t="str">
        <f>IFERROR(__xludf.DUMMYFUNCTION("""COMPUTED_VALUE"""),"Gezielt Bewerbungsgespräche führen ")</f>
        <v>Gezielt Bewerbungsgespräche führen </v>
      </c>
      <c r="B564" s="7" t="str">
        <f>IFERROR(__xludf.DUMMYFUNCTION("""COMPUTED_VALUE"""),"Upgrade Your Interview Techniques")</f>
        <v>Upgrade Your Interview Techniques</v>
      </c>
      <c r="C564" s="8" t="str">
        <f>IFERROR(__xludf.DUMMYFUNCTION("""COMPUTED_VALUE"""),"Wenn du für die Besetzung einer Stelle unter Druck stehst, besteht das Risiko, dass dein Urteilsvermögen beeinträchtigt wird. Dieser Kurs verbessert deine Fähigkeiten zur Durchführung erfolgreicher Bewerbungsgespräche und zur Auswahl des besten Talents fü"&amp;"r dein Team.")</f>
        <v>Wenn du für die Besetzung einer Stelle unter Druck stehst, besteht das Risiko, dass dein Urteilsvermögen beeinträchtigt wird. Dieser Kurs verbessert deine Fähigkeiten zur Durchführung erfolgreicher Bewerbungsgespräche und zur Auswahl des besten Talents für dein Team.</v>
      </c>
      <c r="D564" s="8" t="str">
        <f>IFERROR(__xludf.DUMMYFUNCTION("""COMPUTED_VALUE"""),"If you're under pressure to fill a vacant position on your team, you might be making poor judgments about potential candidates. This course will enhance your psychological skillset for conducting successful interviews and finding the best new talent for y"&amp;"our team.")</f>
        <v>If you're under pressure to fill a vacant position on your team, you might be making poor judgments about potential candidates. This course will enhance your psychological skillset for conducting successful interviews and finding the best new talent for your team.</v>
      </c>
      <c r="E564" s="9" t="str">
        <f>IFERROR(__xludf.DUMMYFUNCTION("""COMPUTED_VALUE"""),"Global Citizenship")</f>
        <v>Global Citizenship</v>
      </c>
      <c r="F564" s="10" t="str">
        <f>IFERROR(__xludf.DUMMYFUNCTION("""COMPUTED_VALUE"""),"Rapid Learning – a bts company")</f>
        <v>Rapid Learning – a bts company</v>
      </c>
      <c r="G564" s="11">
        <f>IFERROR(__xludf.DUMMYFUNCTION("""COMPUTED_VALUE"""),44.0)</f>
        <v>44</v>
      </c>
      <c r="H564" s="11">
        <f>IFERROR(__xludf.DUMMYFUNCTION("""COMPUTED_VALUE"""),20.0)</f>
        <v>20</v>
      </c>
      <c r="I564" s="12" t="str">
        <f>IFERROR(__xludf.DUMMYFUNCTION("""COMPUTED_VALUE"""),"English, German")</f>
        <v>English, German</v>
      </c>
      <c r="J564" s="12" t="str">
        <f>IFERROR(__xludf.DUMMYFUNCTION("""COMPUTED_VALUE"""),"English, German")</f>
        <v>English, German</v>
      </c>
      <c r="K564" s="13">
        <f>IFERROR(__xludf.DUMMYFUNCTION("""COMPUTED_VALUE"""),44357.0)</f>
        <v>44357</v>
      </c>
      <c r="L564" s="14" t="str">
        <f>IFERROR(__xludf.DUMMYFUNCTION("""COMPUTED_VALUE"""),"https://masterplan.com/courses/gezielt-bewerbungsgespraeche-fuehren")</f>
        <v>https://masterplan.com/courses/gezielt-bewerbungsgespraeche-fuehren</v>
      </c>
    </row>
    <row r="565">
      <c r="A565" s="15" t="str">
        <f>IFERROR(__xludf.DUMMYFUNCTION("""COMPUTED_VALUE"""),"Wandel ermöglichen - Krisen überwinden")</f>
        <v>Wandel ermöglichen - Krisen überwinden</v>
      </c>
      <c r="B565" s="16" t="str">
        <f>IFERROR(__xludf.DUMMYFUNCTION("""COMPUTED_VALUE"""),"Managing Change, Crises and Disagreement ")</f>
        <v>Managing Change, Crises and Disagreement </v>
      </c>
      <c r="C565" s="17" t="str">
        <f>IFERROR(__xludf.DUMMYFUNCTION("""COMPUTED_VALUE"""),"Während Krisenzeiten kann effektive Führung einen großen Unterschied machen. In diesem Kurs lernst du konkrete Strategien kennen, die deinem Team helfen auf innovative Lösungen hinzuarbeiten, anstatt in Gruppendenken, Panik oder Widerstand stecken zu blei"&amp;"ben.")</f>
        <v>Während Krisenzeiten kann effektive Führung einen großen Unterschied machen. In diesem Kurs lernst du konkrete Strategien kennen, die deinem Team helfen auf innovative Lösungen hinzuarbeiten, anstatt in Gruppendenken, Panik oder Widerstand stecken zu bleiben.</v>
      </c>
      <c r="D565" s="17" t="str">
        <f>IFERROR(__xludf.DUMMYFUNCTION("""COMPUTED_VALUE"""),"During times of crisis, effective leadership can make all the difference. In this course, you'll learn concrete strategies to help your team collaborate towards innovative solutions instead of getting stuck in groupthink, panic, and pushback.")</f>
        <v>During times of crisis, effective leadership can make all the difference. In this course, you'll learn concrete strategies to help your team collaborate towards innovative solutions instead of getting stuck in groupthink, panic, and pushback.</v>
      </c>
      <c r="E565" s="26" t="str">
        <f>IFERROR(__xludf.DUMMYFUNCTION("""COMPUTED_VALUE"""),"Collaboration and Leadership")</f>
        <v>Collaboration and Leadership</v>
      </c>
      <c r="F565" s="19" t="str">
        <f>IFERROR(__xludf.DUMMYFUNCTION("""COMPUTED_VALUE"""),"Rapid Learning – a bts company")</f>
        <v>Rapid Learning – a bts company</v>
      </c>
      <c r="G565" s="20">
        <f>IFERROR(__xludf.DUMMYFUNCTION("""COMPUTED_VALUE"""),21.0)</f>
        <v>21</v>
      </c>
      <c r="H565" s="20">
        <f>IFERROR(__xludf.DUMMYFUNCTION("""COMPUTED_VALUE"""),11.0)</f>
        <v>11</v>
      </c>
      <c r="I565" s="21" t="str">
        <f>IFERROR(__xludf.DUMMYFUNCTION("""COMPUTED_VALUE"""),"English, German")</f>
        <v>English, German</v>
      </c>
      <c r="J565" s="21" t="str">
        <f>IFERROR(__xludf.DUMMYFUNCTION("""COMPUTED_VALUE"""),"English, German")</f>
        <v>English, German</v>
      </c>
      <c r="K565" s="22">
        <f>IFERROR(__xludf.DUMMYFUNCTION("""COMPUTED_VALUE"""),44357.0)</f>
        <v>44357</v>
      </c>
      <c r="L565" s="23" t="str">
        <f>IFERROR(__xludf.DUMMYFUNCTION("""COMPUTED_VALUE"""),"https://masterplan.com/courses/wandel-ermoeglichen-krisen-ueberwinden")</f>
        <v>https://masterplan.com/courses/wandel-ermoeglichen-krisen-ueberwinden</v>
      </c>
    </row>
    <row r="566">
      <c r="A566" s="6" t="str">
        <f>IFERROR(__xludf.DUMMYFUNCTION("""COMPUTED_VALUE"""),"Verhalten ändern: Jenseits von Druck und Belohnung")</f>
        <v>Verhalten ändern: Jenseits von Druck und Belohnung</v>
      </c>
      <c r="B566" s="7" t="str">
        <f>IFERROR(__xludf.DUMMYFUNCTION("""COMPUTED_VALUE"""),"Changing Behavior: Beyond Rewards and Punishments")</f>
        <v>Changing Behavior: Beyond Rewards and Punishments</v>
      </c>
      <c r="C566" s="8" t="str">
        <f>IFERROR(__xludf.DUMMYFUNCTION("""COMPUTED_VALUE"""),"Bist du frustriert von der scheinbar mangelnden Motivation deiner Mitarbeitenden, pünktlich zu sein oder Termine einzuhalten? Motivation ist vielleicht nicht das Problem. Finde heraus, welche Faktoren es noch sein könnten und wie du nachhaltige Veränderun"&amp;"gen bewirkst.")</f>
        <v>Bist du frustriert von der scheinbar mangelnden Motivation deiner Mitarbeitenden, pünktlich zu sein oder Termine einzuhalten? Motivation ist vielleicht nicht das Problem. Finde heraus, welche Faktoren es noch sein könnten und wie du nachhaltige Veränderungen bewirkst.</v>
      </c>
      <c r="D566" s="8" t="str">
        <f>IFERROR(__xludf.DUMMYFUNCTION("""COMPUTED_VALUE"""),"Are you frustrated by your employees' apparent lack of motivation to be on time or to make deadlines? Motivation might not be the problem. Find out what factor you could be overlooking and how uncovering it can help you inspire lasting change in your empl"&amp;"oyees.")</f>
        <v>Are you frustrated by your employees' apparent lack of motivation to be on time or to make deadlines? Motivation might not be the problem. Find out what factor you could be overlooking and how uncovering it can help you inspire lasting change in your employees.</v>
      </c>
      <c r="E566" s="26" t="str">
        <f>IFERROR(__xludf.DUMMYFUNCTION("""COMPUTED_VALUE"""),"Collaboration and Leadership")</f>
        <v>Collaboration and Leadership</v>
      </c>
      <c r="F566" s="10" t="str">
        <f>IFERROR(__xludf.DUMMYFUNCTION("""COMPUTED_VALUE"""),"Rapid Learning – a bts company")</f>
        <v>Rapid Learning – a bts company</v>
      </c>
      <c r="G566" s="11">
        <f>IFERROR(__xludf.DUMMYFUNCTION("""COMPUTED_VALUE"""),8.0)</f>
        <v>8</v>
      </c>
      <c r="H566" s="11">
        <f>IFERROR(__xludf.DUMMYFUNCTION("""COMPUTED_VALUE"""),4.0)</f>
        <v>4</v>
      </c>
      <c r="I566" s="12" t="str">
        <f>IFERROR(__xludf.DUMMYFUNCTION("""COMPUTED_VALUE"""),"English, German")</f>
        <v>English, German</v>
      </c>
      <c r="J566" s="12" t="str">
        <f>IFERROR(__xludf.DUMMYFUNCTION("""COMPUTED_VALUE"""),"English, German")</f>
        <v>English, German</v>
      </c>
      <c r="K566" s="13">
        <f>IFERROR(__xludf.DUMMYFUNCTION("""COMPUTED_VALUE"""),44357.0)</f>
        <v>44357</v>
      </c>
      <c r="L566" s="14" t="str">
        <f>IFERROR(__xludf.DUMMYFUNCTION("""COMPUTED_VALUE"""),"https://masterplan.com/courses/verhalten-aendern")</f>
        <v>https://masterplan.com/courses/verhalten-aendern</v>
      </c>
    </row>
    <row r="567">
      <c r="A567" s="15" t="str">
        <f>IFERROR(__xludf.DUMMYFUNCTION("""COMPUTED_VALUE"""),"Mitarbeitende nach Scheitern aufrichten")</f>
        <v>Mitarbeitende nach Scheitern aufrichten</v>
      </c>
      <c r="B567" s="16" t="str">
        <f>IFERROR(__xludf.DUMMYFUNCTION("""COMPUTED_VALUE"""),"How to Help Employees Bounce Back After Failure")</f>
        <v>How to Help Employees Bounce Back After Failure</v>
      </c>
      <c r="C567" s="17" t="str">
        <f>IFERROR(__xludf.DUMMYFUNCTION("""COMPUTED_VALUE"""),"Misserfolge sind Teil des Jobs! Doch während einige Angestellte dank ihrer Einsatzbereitschaft und Belastbarkeit mit ihren Fehlern umgehen können, fällt das anderen schwer. Hier lernst du wie du deinen Angestellten helfen kannst, motiviert zu bleiben.")</f>
        <v>Misserfolge sind Teil des Jobs! Doch während einige Angestellte dank ihrer Einsatzbereitschaft und Belastbarkeit mit ihren Fehlern umgehen können, fällt das anderen schwer. Hier lernst du wie du deinen Angestellten helfen kannst, motiviert zu bleiben.</v>
      </c>
      <c r="D567" s="17" t="str">
        <f>IFERROR(__xludf.DUMMYFUNCTION("""COMPUTED_VALUE"""),"Failure is part of the job! While some employees will be able to handle their mistakes with grit and resilience, others might find it difficult to recover from a job gone wrong. Learn how to keep your employees motivated, especially through their struggle"&amp;"s.")</f>
        <v>Failure is part of the job! While some employees will be able to handle their mistakes with grit and resilience, others might find it difficult to recover from a job gone wrong. Learn how to keep your employees motivated, especially through their struggles.</v>
      </c>
      <c r="E567" s="26" t="str">
        <f>IFERROR(__xludf.DUMMYFUNCTION("""COMPUTED_VALUE"""),"Collaboration and Leadership")</f>
        <v>Collaboration and Leadership</v>
      </c>
      <c r="F567" s="19" t="str">
        <f>IFERROR(__xludf.DUMMYFUNCTION("""COMPUTED_VALUE"""),"Rapid Learning – a bts company")</f>
        <v>Rapid Learning – a bts company</v>
      </c>
      <c r="G567" s="20">
        <f>IFERROR(__xludf.DUMMYFUNCTION("""COMPUTED_VALUE"""),7.0)</f>
        <v>7</v>
      </c>
      <c r="H567" s="20">
        <f>IFERROR(__xludf.DUMMYFUNCTION("""COMPUTED_VALUE"""),4.0)</f>
        <v>4</v>
      </c>
      <c r="I567" s="21" t="str">
        <f>IFERROR(__xludf.DUMMYFUNCTION("""COMPUTED_VALUE"""),"English, German")</f>
        <v>English, German</v>
      </c>
      <c r="J567" s="21" t="str">
        <f>IFERROR(__xludf.DUMMYFUNCTION("""COMPUTED_VALUE"""),"English, German")</f>
        <v>English, German</v>
      </c>
      <c r="K567" s="22">
        <f>IFERROR(__xludf.DUMMYFUNCTION("""COMPUTED_VALUE"""),44355.0)</f>
        <v>44355</v>
      </c>
      <c r="L567" s="23" t="str">
        <f>IFERROR(__xludf.DUMMYFUNCTION("""COMPUTED_VALUE"""),"https://masterplan.com/courses/mitarbeitende-nach-scheitern-aufrichten")</f>
        <v>https://masterplan.com/courses/mitarbeitende-nach-scheitern-aufrichten</v>
      </c>
    </row>
    <row r="568">
      <c r="A568" s="6" t="str">
        <f>IFERROR(__xludf.DUMMYFUNCTION("""COMPUTED_VALUE"""),"Die 4 größten Engagementkiller")</f>
        <v>Die 4 größten Engagementkiller</v>
      </c>
      <c r="B568" s="7" t="str">
        <f>IFERROR(__xludf.DUMMYFUNCTION("""COMPUTED_VALUE"""),"4 Triggers of Employee Disengagement")</f>
        <v>4 Triggers of Employee Disengagement</v>
      </c>
      <c r="C568" s="8" t="str">
        <f>IFERROR(__xludf.DUMMYFUNCTION("""COMPUTED_VALUE"""),"In seiner Evolutionsgeschichte entwickelte der Mensch ein Bedürfnis nach ""sicheren Häfen"" durch Gruppenbindung. Auch heute sehen wir dies, z.B. wenn wir mit der Unterstützung von starken Führungskräften aufblühen. Wie kannst du Mitarbeitenden Vertrauens"&amp;"würdigkeit demonstrieren?")</f>
        <v>In seiner Evolutionsgeschichte entwickelte der Mensch ein Bedürfnis nach "sicheren Häfen" durch Gruppenbindung. Auch heute sehen wir dies, z.B. wenn wir mit der Unterstützung von starken Führungskräften aufblühen. Wie kannst du Mitarbeitenden Vertrauenswürdigkeit demonstrieren?</v>
      </c>
      <c r="D568" s="8" t="str">
        <f>IFERROR(__xludf.DUMMYFUNCTION("""COMPUTED_VALUE"""),"Deep in our evolutionary past, humans developed a need for ""safe havens"" through group attachment. We see this today when we do our best work in the presence of strong leaders. How can leaders show employees their trustworthiness, and what happens when "&amp;"it's not enough?")</f>
        <v>Deep in our evolutionary past, humans developed a need for "safe havens" through group attachment. We see this today when we do our best work in the presence of strong leaders. How can leaders show employees their trustworthiness, and what happens when it's not enough?</v>
      </c>
      <c r="E568" s="26" t="str">
        <f>IFERROR(__xludf.DUMMYFUNCTION("""COMPUTED_VALUE"""),"Collaboration and Leadership")</f>
        <v>Collaboration and Leadership</v>
      </c>
      <c r="F568" s="10" t="str">
        <f>IFERROR(__xludf.DUMMYFUNCTION("""COMPUTED_VALUE"""),"Rapid Learning – a bts company")</f>
        <v>Rapid Learning – a bts company</v>
      </c>
      <c r="G568" s="11">
        <f>IFERROR(__xludf.DUMMYFUNCTION("""COMPUTED_VALUE"""),14.0)</f>
        <v>14</v>
      </c>
      <c r="H568" s="11">
        <f>IFERROR(__xludf.DUMMYFUNCTION("""COMPUTED_VALUE"""),4.0)</f>
        <v>4</v>
      </c>
      <c r="I568" s="12" t="str">
        <f>IFERROR(__xludf.DUMMYFUNCTION("""COMPUTED_VALUE"""),"English, German")</f>
        <v>English, German</v>
      </c>
      <c r="J568" s="12" t="str">
        <f>IFERROR(__xludf.DUMMYFUNCTION("""COMPUTED_VALUE"""),"English, German")</f>
        <v>English, German</v>
      </c>
      <c r="K568" s="13">
        <f>IFERROR(__xludf.DUMMYFUNCTION("""COMPUTED_VALUE"""),44348.0)</f>
        <v>44348</v>
      </c>
      <c r="L568" s="14" t="str">
        <f>IFERROR(__xludf.DUMMYFUNCTION("""COMPUTED_VALUE"""),"https://masterplan.com/courses/die-vier-groessten-engagementkiller")</f>
        <v>https://masterplan.com/courses/die-vier-groessten-engagementkiller</v>
      </c>
    </row>
    <row r="569">
      <c r="A569" s="15" t="str">
        <f>IFERROR(__xludf.DUMMYFUNCTION("""COMPUTED_VALUE"""),"Die Illusion der Transparenz")</f>
        <v>Die Illusion der Transparenz</v>
      </c>
      <c r="B569" s="16" t="str">
        <f>IFERROR(__xludf.DUMMYFUNCTION("""COMPUTED_VALUE"""),"The Illusion of Transparency")</f>
        <v>The Illusion of Transparency</v>
      </c>
      <c r="C569" s="17" t="str">
        <f>IFERROR(__xludf.DUMMYFUNCTION("""COMPUTED_VALUE"""),"Aktuelle Forschung zeigt, dass sogar Menschen, die gut kommunizieren, in bis zu 70% der Fälle falsch verstanden werden. In diesem Quick Take lernst du, wie du die ""Illusion der Transparenz"", die diesem Problem zu Grunde liegt, vermeidest.")</f>
        <v>Aktuelle Forschung zeigt, dass sogar Menschen, die gut kommunizieren, in bis zu 70% der Fälle falsch verstanden werden. In diesem Quick Take lernst du, wie du die "Illusion der Transparenz", die diesem Problem zu Grunde liegt, vermeidest.</v>
      </c>
      <c r="D569" s="17" t="str">
        <f>IFERROR(__xludf.DUMMYFUNCTION("""COMPUTED_VALUE"""),"Research shows that even highly skilled communicators are misunderstood up to 70% of the time. Learn how you can avoid the ""Illusion of Transparency"" that underlies this common challenge.")</f>
        <v>Research shows that even highly skilled communicators are misunderstood up to 70% of the time. Learn how you can avoid the "Illusion of Transparency" that underlies this common challenge.</v>
      </c>
      <c r="E569" s="28" t="str">
        <f>IFERROR(__xludf.DUMMYFUNCTION("""COMPUTED_VALUE"""),"Communication")</f>
        <v>Communication</v>
      </c>
      <c r="F569" s="19" t="str">
        <f>IFERROR(__xludf.DUMMYFUNCTION("""COMPUTED_VALUE"""),"Rapid Learning – a bts company")</f>
        <v>Rapid Learning – a bts company</v>
      </c>
      <c r="G569" s="20">
        <f>IFERROR(__xludf.DUMMYFUNCTION("""COMPUTED_VALUE"""),8.0)</f>
        <v>8</v>
      </c>
      <c r="H569" s="20">
        <f>IFERROR(__xludf.DUMMYFUNCTION("""COMPUTED_VALUE"""),4.0)</f>
        <v>4</v>
      </c>
      <c r="I569" s="21" t="str">
        <f>IFERROR(__xludf.DUMMYFUNCTION("""COMPUTED_VALUE"""),"English, German")</f>
        <v>English, German</v>
      </c>
      <c r="J569" s="21" t="str">
        <f>IFERROR(__xludf.DUMMYFUNCTION("""COMPUTED_VALUE"""),"English, German")</f>
        <v>English, German</v>
      </c>
      <c r="K569" s="22">
        <f>IFERROR(__xludf.DUMMYFUNCTION("""COMPUTED_VALUE"""),44344.0)</f>
        <v>44344</v>
      </c>
      <c r="L569" s="23" t="str">
        <f>IFERROR(__xludf.DUMMYFUNCTION("""COMPUTED_VALUE"""),"https://masterplan.com/courses/die-illusion-der-transparenz")</f>
        <v>https://masterplan.com/courses/die-illusion-der-transparenz</v>
      </c>
    </row>
    <row r="570">
      <c r="A570" s="6" t="str">
        <f>IFERROR(__xludf.DUMMYFUNCTION("""COMPUTED_VALUE"""),"Inklusivität und Diversität im Unternehmen")</f>
        <v>Inklusivität und Diversität im Unternehmen</v>
      </c>
      <c r="B570" s="7" t="str">
        <f>IFERROR(__xludf.DUMMYFUNCTION("""COMPUTED_VALUE"""),"Inclusion and Diversity for Better Organizations")</f>
        <v>Inclusion and Diversity for Better Organizations</v>
      </c>
      <c r="C570" s="8" t="str">
        <f>IFERROR(__xludf.DUMMYFUNCTION("""COMPUTED_VALUE"""),"Die Vernachlässigung von Diversität oder unbewusste Voreingenommenheit richten großen Schaden an! In diesem Kurs lernst du, wie du soziale Schwachstellen aufdecken und eine integrativere Arbeitsatmosphäre fördern kannst, von der das ganze Unternehmen prof"&amp;"itiert.")</f>
        <v>Die Vernachlässigung von Diversität oder unbewusste Voreingenommenheit richten großen Schaden an! In diesem Kurs lernst du, wie du soziale Schwachstellen aufdecken und eine integrativere Arbeitsatmosphäre fördern kannst, von der das ganze Unternehmen profitiert.</v>
      </c>
      <c r="D570" s="8" t="str">
        <f>IFERROR(__xludf.DUMMYFUNCTION("""COMPUTED_VALUE"""),"From individual employees to a company's organization, unconscious bias, diversity invisibility, and stereotypes can harm everyone. In this course, you'll learn how to uncover social blindspots and foster a more inclusive environment that will benefit the"&amp;" whole company.")</f>
        <v>From individual employees to a company's organization, unconscious bias, diversity invisibility, and stereotypes can harm everyone. In this course, you'll learn how to uncover social blindspots and foster a more inclusive environment that will benefit the whole company.</v>
      </c>
      <c r="E570" s="24" t="str">
        <f>IFERROR(__xludf.DUMMYFUNCTION("""COMPUTED_VALUE"""),"Emotional Intelligence")</f>
        <v>Emotional Intelligence</v>
      </c>
      <c r="F570" s="10" t="str">
        <f>IFERROR(__xludf.DUMMYFUNCTION("""COMPUTED_VALUE"""),"BigThink - Jennifer Brown, Sylvia Ann Hewlett, Valerie Purdie-Vaughns")</f>
        <v>BigThink - Jennifer Brown, Sylvia Ann Hewlett, Valerie Purdie-Vaughns</v>
      </c>
      <c r="G570" s="11">
        <f>IFERROR(__xludf.DUMMYFUNCTION("""COMPUTED_VALUE"""),38.0)</f>
        <v>38</v>
      </c>
      <c r="H570" s="11">
        <f>IFERROR(__xludf.DUMMYFUNCTION("""COMPUTED_VALUE"""),17.0)</f>
        <v>17</v>
      </c>
      <c r="I570" s="12" t="str">
        <f>IFERROR(__xludf.DUMMYFUNCTION("""COMPUTED_VALUE"""),"English, German")</f>
        <v>English, German</v>
      </c>
      <c r="J570" s="12" t="str">
        <f>IFERROR(__xludf.DUMMYFUNCTION("""COMPUTED_VALUE"""),"English")</f>
        <v>English</v>
      </c>
      <c r="K570" s="13">
        <f>IFERROR(__xludf.DUMMYFUNCTION("""COMPUTED_VALUE"""),44336.0)</f>
        <v>44336</v>
      </c>
      <c r="L570" s="14" t="str">
        <f>IFERROR(__xludf.DUMMYFUNCTION("""COMPUTED_VALUE"""),"https://masterplan.com/courses/inklusivitaet-und-diversitaet-im-unternehmen")</f>
        <v>https://masterplan.com/courses/inklusivitaet-und-diversitaet-im-unternehmen</v>
      </c>
    </row>
    <row r="571">
      <c r="A571" s="15" t="str">
        <f>IFERROR(__xludf.DUMMYFUNCTION("""COMPUTED_VALUE"""),"Im selben Boot: Inklusion für alle")</f>
        <v>Im selben Boot: Inklusion für alle</v>
      </c>
      <c r="B571" s="16" t="str">
        <f>IFERROR(__xludf.DUMMYFUNCTION("""COMPUTED_VALUE"""),"In the same Boat: Making Inclusion Work")</f>
        <v>In the same Boat: Making Inclusion Work</v>
      </c>
      <c r="C571" s="17" t="str">
        <f>IFERROR(__xludf.DUMMYFUNCTION("""COMPUTED_VALUE"""),"Der Mehrheit der Mitarbeitenden in Unternehmen fällt es schwer, bei der Arbeit authentisch zu sein. Kenji Yoshino zeigt dir, wie du einige der Gründe, weshalb sich Mitarbeitende verstecken, ""aufdecken"" und die Offenheit am Arbeitsplatz fördern kannst.")</f>
        <v>Der Mehrheit der Mitarbeitenden in Unternehmen fällt es schwer, bei der Arbeit authentisch zu sein. Kenji Yoshino zeigt dir, wie du einige der Gründe, weshalb sich Mitarbeitende verstecken, "aufdecken" und die Offenheit am Arbeitsplatz fördern kannst.</v>
      </c>
      <c r="D571" s="17" t="str">
        <f>IFERROR(__xludf.DUMMYFUNCTION("""COMPUTED_VALUE"""),"Every company would say they support diversity and inclusion in the workplace. And yet, the majority of employees struggle to be authentic at work. Kenji Yoshino teaches you how to ""uncover"" some of the reasons employees hide themselves and encourage op"&amp;"ening up at work.")</f>
        <v>Every company would say they support diversity and inclusion in the workplace. And yet, the majority of employees struggle to be authentic at work. Kenji Yoshino teaches you how to "uncover" some of the reasons employees hide themselves and encourage opening up at work.</v>
      </c>
      <c r="E571" s="24" t="str">
        <f>IFERROR(__xludf.DUMMYFUNCTION("""COMPUTED_VALUE"""),"Emotional Intelligence")</f>
        <v>Emotional Intelligence</v>
      </c>
      <c r="F571" s="19" t="str">
        <f>IFERROR(__xludf.DUMMYFUNCTION("""COMPUTED_VALUE"""),"BigThink - Kenji Yoshino ")</f>
        <v>BigThink - Kenji Yoshino </v>
      </c>
      <c r="G571" s="20">
        <f>IFERROR(__xludf.DUMMYFUNCTION("""COMPUTED_VALUE"""),60.0)</f>
        <v>60</v>
      </c>
      <c r="H571" s="20">
        <f>IFERROR(__xludf.DUMMYFUNCTION("""COMPUTED_VALUE"""),22.0)</f>
        <v>22</v>
      </c>
      <c r="I571" s="21" t="str">
        <f>IFERROR(__xludf.DUMMYFUNCTION("""COMPUTED_VALUE"""),"English, German")</f>
        <v>English, German</v>
      </c>
      <c r="J571" s="21" t="str">
        <f>IFERROR(__xludf.DUMMYFUNCTION("""COMPUTED_VALUE"""),"English")</f>
        <v>English</v>
      </c>
      <c r="K571" s="22">
        <f>IFERROR(__xludf.DUMMYFUNCTION("""COMPUTED_VALUE"""),44335.0)</f>
        <v>44335</v>
      </c>
      <c r="L571" s="23" t="str">
        <f>IFERROR(__xludf.DUMMYFUNCTION("""COMPUTED_VALUE"""),"https://masterplan.com/courses/inklusion-fuer-alle")</f>
        <v>https://masterplan.com/courses/inklusion-fuer-alle</v>
      </c>
    </row>
    <row r="572">
      <c r="A572" s="6" t="str">
        <f>IFERROR(__xludf.DUMMYFUNCTION("""COMPUTED_VALUE"""),"Klar und Empathisch: Gespräche überzeugend führen")</f>
        <v>Klar und Empathisch: Gespräche überzeugend führen</v>
      </c>
      <c r="B572" s="7" t="str">
        <f>IFERROR(__xludf.DUMMYFUNCTION("""COMPUTED_VALUE"""),"Empathy, Clarity, Purpose: Speaking Convincingly")</f>
        <v>Empathy, Clarity, Purpose: Speaking Convincingly</v>
      </c>
      <c r="C572" s="8" t="str">
        <f>IFERROR(__xludf.DUMMYFUNCTION("""COMPUTED_VALUE"""),"Begleite Schauspieler und Comedian Alan Alda, während er die Grundlagen der Schauspielerei vermittelt, die Kommunikation am Arbeitsplatz verändern können. Durch Improvisation, das Geschichtenerzählen und ein Gespür für Empathie wird jede Botschaft effekti"&amp;"v kommuniziert.")</f>
        <v>Begleite Schauspieler und Comedian Alan Alda, während er die Grundlagen der Schauspielerei vermittelt, die Kommunikation am Arbeitsplatz verändern können. Durch Improvisation, das Geschichtenerzählen und ein Gespür für Empathie wird jede Botschaft effektiv kommuniziert.</v>
      </c>
      <c r="D572" s="8" t="str">
        <f>IFERROR(__xludf.DUMMYFUNCTION("""COMPUTED_VALUE"""),"Join renowned actor and comedian Alan Alda as he shares the fundamentals of acting that can transform your workplace communication. Learn how improvization, storytelling, and a keen sense of empathy can help you effectively communicate any message to any "&amp;"audience.")</f>
        <v>Join renowned actor and comedian Alan Alda as he shares the fundamentals of acting that can transform your workplace communication. Learn how improvization, storytelling, and a keen sense of empathy can help you effectively communicate any message to any audience.</v>
      </c>
      <c r="E572" s="24" t="str">
        <f>IFERROR(__xludf.DUMMYFUNCTION("""COMPUTED_VALUE"""),"Emotional Intelligence")</f>
        <v>Emotional Intelligence</v>
      </c>
      <c r="F572" s="10" t="str">
        <f>IFERROR(__xludf.DUMMYFUNCTION("""COMPUTED_VALUE"""),"BigThink - Alan Alda")</f>
        <v>BigThink - Alan Alda</v>
      </c>
      <c r="G572" s="11">
        <f>IFERROR(__xludf.DUMMYFUNCTION("""COMPUTED_VALUE"""),22.0)</f>
        <v>22</v>
      </c>
      <c r="H572" s="11">
        <f>IFERROR(__xludf.DUMMYFUNCTION("""COMPUTED_VALUE"""),15.0)</f>
        <v>15</v>
      </c>
      <c r="I572" s="12" t="str">
        <f>IFERROR(__xludf.DUMMYFUNCTION("""COMPUTED_VALUE"""),"English, German")</f>
        <v>English, German</v>
      </c>
      <c r="J572" s="12" t="str">
        <f>IFERROR(__xludf.DUMMYFUNCTION("""COMPUTED_VALUE"""),"English")</f>
        <v>English</v>
      </c>
      <c r="K572" s="13">
        <f>IFERROR(__xludf.DUMMYFUNCTION("""COMPUTED_VALUE"""),44330.0)</f>
        <v>44330</v>
      </c>
      <c r="L572" s="14" t="str">
        <f>IFERROR(__xludf.DUMMYFUNCTION("""COMPUTED_VALUE"""),"https://masterplan.com/courses/gespraeche-ueberzeugend-fuehren")</f>
        <v>https://masterplan.com/courses/gespraeche-ueberzeugend-fuehren</v>
      </c>
    </row>
    <row r="573">
      <c r="A573" s="15" t="str">
        <f>IFERROR(__xludf.DUMMYFUNCTION("""COMPUTED_VALUE"""),"Schwierige Gespräche führen ")</f>
        <v>Schwierige Gespräche führen </v>
      </c>
      <c r="B573" s="16" t="str">
        <f>IFERROR(__xludf.DUMMYFUNCTION("""COMPUTED_VALUE"""),"Leading Difficult Conversations")</f>
        <v>Leading Difficult Conversations</v>
      </c>
      <c r="C573" s="17" t="str">
        <f>IFERROR(__xludf.DUMMYFUNCTION("""COMPUTED_VALUE"""),"Für jeden, von Manager:innen bis zu Verkäufer:innen, ist effektive Kommunikation der Schlüssel zum Erfolg, besonders bei schwierigen Gesprächen. Todd Davis zeigt dir, wie du exzellente Kommunikationsfähigkeiten entwickelst und den wichtigsten Dingen auf d"&amp;"en Grund gehst.")</f>
        <v>Für jeden, von Manager:innen bis zu Verkäufer:innen, ist effektive Kommunikation der Schlüssel zum Erfolg, besonders bei schwierigen Gesprächen. Todd Davis zeigt dir, wie du exzellente Kommunikationsfähigkeiten entwickelst und den wichtigsten Dingen auf den Grund gehst.</v>
      </c>
      <c r="D573" s="17" t="str">
        <f>IFERROR(__xludf.DUMMYFUNCTION("""COMPUTED_VALUE"""),"For everyone from managers to salespeople, effective communication is the key to success, especially when it comes to difficult conversations. Todd Davis teaches you how to develop excellent communication skills and get to the bottom of what's most import"&amp;"ant.")</f>
        <v>For everyone from managers to salespeople, effective communication is the key to success, especially when it comes to difficult conversations. Todd Davis teaches you how to develop excellent communication skills and get to the bottom of what's most important.</v>
      </c>
      <c r="E573" s="24" t="str">
        <f>IFERROR(__xludf.DUMMYFUNCTION("""COMPUTED_VALUE"""),"Emotional Intelligence")</f>
        <v>Emotional Intelligence</v>
      </c>
      <c r="F573" s="19" t="str">
        <f>IFERROR(__xludf.DUMMYFUNCTION("""COMPUTED_VALUE"""),"BigThink - Todd Davis")</f>
        <v>BigThink - Todd Davis</v>
      </c>
      <c r="G573" s="20">
        <f>IFERROR(__xludf.DUMMYFUNCTION("""COMPUTED_VALUE"""),50.0)</f>
        <v>50</v>
      </c>
      <c r="H573" s="20">
        <f>IFERROR(__xludf.DUMMYFUNCTION("""COMPUTED_VALUE"""),17.0)</f>
        <v>17</v>
      </c>
      <c r="I573" s="21" t="str">
        <f>IFERROR(__xludf.DUMMYFUNCTION("""COMPUTED_VALUE"""),"English, German")</f>
        <v>English, German</v>
      </c>
      <c r="J573" s="21" t="str">
        <f>IFERROR(__xludf.DUMMYFUNCTION("""COMPUTED_VALUE"""),"English")</f>
        <v>English</v>
      </c>
      <c r="K573" s="22">
        <f>IFERROR(__xludf.DUMMYFUNCTION("""COMPUTED_VALUE"""),44328.0)</f>
        <v>44328</v>
      </c>
      <c r="L573" s="23" t="str">
        <f>IFERROR(__xludf.DUMMYFUNCTION("""COMPUTED_VALUE"""),"https://masterplan.com/courses/schwierige-gespraeche-fuehren")</f>
        <v>https://masterplan.com/courses/schwierige-gespraeche-fuehren</v>
      </c>
    </row>
    <row r="574">
      <c r="A574" s="6" t="str">
        <f>IFERROR(__xludf.DUMMYFUNCTION("""COMPUTED_VALUE"""),"Zuhören und Lernen: Social Media strategisch nutzen")</f>
        <v>Zuhören und Lernen: Social Media strategisch nutzen</v>
      </c>
      <c r="B574" s="7" t="str">
        <f>IFERROR(__xludf.DUMMYFUNCTION("""COMPUTED_VALUE"""),"Listen to Lead: Engaging Wisely on Social Media")</f>
        <v>Listen to Lead: Engaging Wisely on Social Media</v>
      </c>
      <c r="C574" s="8" t="str">
        <f>IFERROR(__xludf.DUMMYFUNCTION("""COMPUTED_VALUE"""),"Welchen Einfluss hat Social Media auf die Rolle und Macht einer Führungskraft? In diesem Kurs lernst du die Vorteile des Bewusstseins sowie der Kommunikation kennen, die aus einer engagierten Führung resultieren und wie du dir diese Vorteile zunutze machs"&amp;"t!")</f>
        <v>Welchen Einfluss hat Social Media auf die Rolle und Macht einer Führungskraft? In diesem Kurs lernst du die Vorteile des Bewusstseins sowie der Kommunikation kennen, die aus einer engagierten Führung resultieren und wie du dir diese Vorteile zunutze machst!</v>
      </c>
      <c r="D574" s="8" t="str">
        <f>IFERROR(__xludf.DUMMYFUNCTION("""COMPUTED_VALUE"""),"How can the power of leadership be translated to the digital age? How has social media changed the role of a leader? In this topic, you'll learn the key benefits of the awareness and communication that comes from engaged leadership, and how you can harnes"&amp;"s that power.")</f>
        <v>How can the power of leadership be translated to the digital age? How has social media changed the role of a leader? In this topic, you'll learn the key benefits of the awareness and communication that comes from engaged leadership, and how you can harness that power.</v>
      </c>
      <c r="E574" s="9" t="str">
        <f>IFERROR(__xludf.DUMMYFUNCTION("""COMPUTED_VALUE"""),"Global Citizenship")</f>
        <v>Global Citizenship</v>
      </c>
      <c r="F574" s="10" t="str">
        <f>IFERROR(__xludf.DUMMYFUNCTION("""COMPUTED_VALUE"""),"BigThink - Charlene Li, Scott Belsky")</f>
        <v>BigThink - Charlene Li, Scott Belsky</v>
      </c>
      <c r="G574" s="11">
        <f>IFERROR(__xludf.DUMMYFUNCTION("""COMPUTED_VALUE"""),30.0)</f>
        <v>30</v>
      </c>
      <c r="H574" s="11">
        <f>IFERROR(__xludf.DUMMYFUNCTION("""COMPUTED_VALUE"""),13.0)</f>
        <v>13</v>
      </c>
      <c r="I574" s="12" t="str">
        <f>IFERROR(__xludf.DUMMYFUNCTION("""COMPUTED_VALUE"""),"English, German")</f>
        <v>English, German</v>
      </c>
      <c r="J574" s="12" t="str">
        <f>IFERROR(__xludf.DUMMYFUNCTION("""COMPUTED_VALUE"""),"English")</f>
        <v>English</v>
      </c>
      <c r="K574" s="13">
        <f>IFERROR(__xludf.DUMMYFUNCTION("""COMPUTED_VALUE"""),44326.0)</f>
        <v>44326</v>
      </c>
      <c r="L574" s="14" t="str">
        <f>IFERROR(__xludf.DUMMYFUNCTION("""COMPUTED_VALUE"""),"https://masterplan.com/courses/social-media-strategisch-nutzen")</f>
        <v>https://masterplan.com/courses/social-media-strategisch-nutzen</v>
      </c>
    </row>
    <row r="575">
      <c r="A575" s="15" t="str">
        <f>IFERROR(__xludf.DUMMYFUNCTION("""COMPUTED_VALUE"""),"Komplexität managen - Bürokratie reduzieren")</f>
        <v>Komplexität managen - Bürokratie reduzieren</v>
      </c>
      <c r="B575" s="16" t="str">
        <f>IFERROR(__xludf.DUMMYFUNCTION("""COMPUTED_VALUE"""),"Cut the Red Tape: Dealing with Business Complexity")</f>
        <v>Cut the Red Tape: Dealing with Business Complexity</v>
      </c>
      <c r="C575" s="17" t="str">
        <f>IFERROR(__xludf.DUMMYFUNCTION("""COMPUTED_VALUE"""),"Innovatives sowie intelligentes Urteilsvermögen sowie organisatorische Veränderungen: Darauf setzt Yves, wenn er die Komplexität in Unternehmen reduzieren möchte - und diese Veränderung sind in 6 Schritten erreicht!")</f>
        <v>Innovatives sowie intelligentes Urteilsvermögen sowie organisatorische Veränderungen: Darauf setzt Yves, wenn er die Komplexität in Unternehmen reduzieren möchte - und diese Veränderung sind in 6 Schritten erreicht!</v>
      </c>
      <c r="D575" s="17" t="str">
        <f>IFERROR(__xludf.DUMMYFUNCTION("""COMPUTED_VALUE"""),"For Yves Morieux and the Boston Consulting Group, responding to business complexity is all about making meaningful organizational changes that encourage innovative, intelligent judgments and cooperation. You'll learn how to make these changes in six compr"&amp;"ehensive steps.")</f>
        <v>For Yves Morieux and the Boston Consulting Group, responding to business complexity is all about making meaningful organizational changes that encourage innovative, intelligent judgments and cooperation. You'll learn how to make these changes in six comprehensive steps.</v>
      </c>
      <c r="E575" s="18" t="str">
        <f>IFERROR(__xludf.DUMMYFUNCTION("""COMPUTED_VALUE"""),"Creativity and Innovation")</f>
        <v>Creativity and Innovation</v>
      </c>
      <c r="F575" s="19" t="str">
        <f>IFERROR(__xludf.DUMMYFUNCTION("""COMPUTED_VALUE"""),"BigThink - Yves Morieux")</f>
        <v>BigThink - Yves Morieux</v>
      </c>
      <c r="G575" s="20">
        <f>IFERROR(__xludf.DUMMYFUNCTION("""COMPUTED_VALUE"""),47.0)</f>
        <v>47</v>
      </c>
      <c r="H575" s="20">
        <f>IFERROR(__xludf.DUMMYFUNCTION("""COMPUTED_VALUE"""),17.0)</f>
        <v>17</v>
      </c>
      <c r="I575" s="21" t="str">
        <f>IFERROR(__xludf.DUMMYFUNCTION("""COMPUTED_VALUE"""),"English, German")</f>
        <v>English, German</v>
      </c>
      <c r="J575" s="21" t="str">
        <f>IFERROR(__xludf.DUMMYFUNCTION("""COMPUTED_VALUE"""),"English")</f>
        <v>English</v>
      </c>
      <c r="K575" s="22">
        <f>IFERROR(__xludf.DUMMYFUNCTION("""COMPUTED_VALUE"""),44323.0)</f>
        <v>44323</v>
      </c>
      <c r="L575" s="23" t="str">
        <f>IFERROR(__xludf.DUMMYFUNCTION("""COMPUTED_VALUE"""),"https://masterplan.com/courses/komplexitaet-managen-buerokratie-reduzieren")</f>
        <v>https://masterplan.com/courses/komplexitaet-managen-buerokratie-reduzieren</v>
      </c>
    </row>
    <row r="576">
      <c r="A576" s="6" t="str">
        <f>IFERROR(__xludf.DUMMYFUNCTION("""COMPUTED_VALUE"""),"Stressfrei zum Erfolg - Belastbarkeit und Zufriedenheit im Beruf")</f>
        <v>Stressfrei zum Erfolg - Belastbarkeit und Zufriedenheit im Beruf</v>
      </c>
      <c r="B576" s="7" t="str">
        <f>IFERROR(__xludf.DUMMYFUNCTION("""COMPUTED_VALUE"""),"Resilient Minds, High Performers")</f>
        <v>Resilient Minds, High Performers</v>
      </c>
      <c r="C576" s="8" t="str">
        <f>IFERROR(__xludf.DUMMYFUNCTION("""COMPUTED_VALUE"""),"Ganz gleich, welche Art von Arbeit du machst, Stress am Arbeitsplatz ist unvermeidlich. Wir neigen dazu, Stress als nachteilig für Leistung und Erfolg zu betrachten, aber Kelly McGonigal argumentiert, dass wir sogar bessere Ergebnisse erzielen können, wen"&amp;"n wir unseren Stress nutzen, anstatt ihn zu minimieren.")</f>
        <v>Ganz gleich, welche Art von Arbeit du machst, Stress am Arbeitsplatz ist unvermeidlich. Wir neigen dazu, Stress als nachteilig für Leistung und Erfolg zu betrachten, aber Kelly McGonigal argumentiert, dass wir sogar bessere Ergebnisse erzielen können, wenn wir unseren Stress nutzen, anstatt ihn zu minimieren.</v>
      </c>
      <c r="D576" s="8" t="str">
        <f>IFERROR(__xludf.DUMMYFUNCTION("""COMPUTED_VALUE"""),"No matter what kind of work you do, workplace stress is inevitable. We tend to think of stress as detrimental to performance and success, but Kelly McGonigal argues that by harnessing our stress instead of minimizing it, we can achieve even better outcome"&amp;"s.")</f>
        <v>No matter what kind of work you do, workplace stress is inevitable. We tend to think of stress as detrimental to performance and success, but Kelly McGonigal argues that by harnessing our stress instead of minimizing it, we can achieve even better outcomes.</v>
      </c>
      <c r="E576" s="24" t="str">
        <f>IFERROR(__xludf.DUMMYFUNCTION("""COMPUTED_VALUE"""),"Emotional Intelligence")</f>
        <v>Emotional Intelligence</v>
      </c>
      <c r="F576" s="10" t="str">
        <f>IFERROR(__xludf.DUMMYFUNCTION("""COMPUTED_VALUE"""),"BigThink - Kelly McGonigal")</f>
        <v>BigThink - Kelly McGonigal</v>
      </c>
      <c r="G576" s="11">
        <f>IFERROR(__xludf.DUMMYFUNCTION("""COMPUTED_VALUE"""),25.0)</f>
        <v>25</v>
      </c>
      <c r="H576" s="11">
        <f>IFERROR(__xludf.DUMMYFUNCTION("""COMPUTED_VALUE"""),9.0)</f>
        <v>9</v>
      </c>
      <c r="I576" s="12" t="str">
        <f>IFERROR(__xludf.DUMMYFUNCTION("""COMPUTED_VALUE"""),"English, German")</f>
        <v>English, German</v>
      </c>
      <c r="J576" s="12" t="str">
        <f>IFERROR(__xludf.DUMMYFUNCTION("""COMPUTED_VALUE"""),"English")</f>
        <v>English</v>
      </c>
      <c r="K576" s="13">
        <f>IFERROR(__xludf.DUMMYFUNCTION("""COMPUTED_VALUE"""),44322.0)</f>
        <v>44322</v>
      </c>
      <c r="L576" s="14" t="str">
        <f>IFERROR(__xludf.DUMMYFUNCTION("""COMPUTED_VALUE"""),"https://masterplan.com/courses/stressfrei-zum-erfolg")</f>
        <v>https://masterplan.com/courses/stressfrei-zum-erfolg</v>
      </c>
    </row>
    <row r="577">
      <c r="A577" s="15" t="str">
        <f>IFERROR(__xludf.DUMMYFUNCTION("""COMPUTED_VALUE"""),"Unterschiede überwinden - Konflikte lösen")</f>
        <v>Unterschiede überwinden - Konflikte lösen</v>
      </c>
      <c r="B577" s="16" t="str">
        <f>IFERROR(__xludf.DUMMYFUNCTION("""COMPUTED_VALUE"""),"Bridging Differences - Solving Conflicts ")</f>
        <v>Bridging Differences - Solving Conflicts </v>
      </c>
      <c r="C577" s="17" t="str">
        <f>IFERROR(__xludf.DUMMYFUNCTION("""COMPUTED_VALUE"""),"Wir denken immer darüber nach, was wir kommunizieren, aber weniger darüber, wie wir es tun. In diesem Kurs erklärt Angie McArthur, wie verschiedene Persönlichkeitstypen kommunizieren und wie man die typischen Missverständnisse vermeiden kann, die Arbeitsb"&amp;"eziehungen schaden können.")</f>
        <v>Wir denken immer darüber nach, was wir kommunizieren, aber weniger darüber, wie wir es tun. In diesem Kurs erklärt Angie McArthur, wie verschiedene Persönlichkeitstypen kommunizieren und wie man die typischen Missverständnisse vermeiden kann, die Arbeitsbeziehungen schaden können.</v>
      </c>
      <c r="D577" s="17" t="str">
        <f>IFERROR(__xludf.DUMMYFUNCTION("""COMPUTED_VALUE"""),"We always think about what we're communicating, but what about how we're communicating? Throughout this course, Angie McArthur explains how different personality types communicate, and how to avoid the typical misunderstandings that can damage working rel"&amp;"ationships.")</f>
        <v>We always think about what we're communicating, but what about how we're communicating? Throughout this course, Angie McArthur explains how different personality types communicate, and how to avoid the typical misunderstandings that can damage working relationships.</v>
      </c>
      <c r="E577" s="24" t="str">
        <f>IFERROR(__xludf.DUMMYFUNCTION("""COMPUTED_VALUE"""),"Emotional Intelligence")</f>
        <v>Emotional Intelligence</v>
      </c>
      <c r="F577" s="19" t="str">
        <f>IFERROR(__xludf.DUMMYFUNCTION("""COMPUTED_VALUE"""),"BigThink - Angie McArthur")</f>
        <v>BigThink - Angie McArthur</v>
      </c>
      <c r="G577" s="20">
        <f>IFERROR(__xludf.DUMMYFUNCTION("""COMPUTED_VALUE"""),28.0)</f>
        <v>28</v>
      </c>
      <c r="H577" s="20">
        <f>IFERROR(__xludf.DUMMYFUNCTION("""COMPUTED_VALUE"""),13.0)</f>
        <v>13</v>
      </c>
      <c r="I577" s="21" t="str">
        <f>IFERROR(__xludf.DUMMYFUNCTION("""COMPUTED_VALUE"""),"English, German")</f>
        <v>English, German</v>
      </c>
      <c r="J577" s="21" t="str">
        <f>IFERROR(__xludf.DUMMYFUNCTION("""COMPUTED_VALUE"""),"English")</f>
        <v>English</v>
      </c>
      <c r="K577" s="22">
        <f>IFERROR(__xludf.DUMMYFUNCTION("""COMPUTED_VALUE"""),44322.0)</f>
        <v>44322</v>
      </c>
      <c r="L577" s="23" t="str">
        <f>IFERROR(__xludf.DUMMYFUNCTION("""COMPUTED_VALUE"""),"https://masterplan.com/courses/unterschiede-ueberwinden-konflikte-loesen")</f>
        <v>https://masterplan.com/courses/unterschiede-ueberwinden-konflikte-loesen</v>
      </c>
    </row>
    <row r="578">
      <c r="A578" s="6" t="str">
        <f>IFERROR(__xludf.DUMMYFUNCTION("""COMPUTED_VALUE"""),"Selbstbewusst und kompetent: Frauen im Unternehmen")</f>
        <v>Selbstbewusst und kompetent: Frauen im Unternehmen</v>
      </c>
      <c r="B578" s="7" t="str">
        <f>IFERROR(__xludf.DUMMYFUNCTION("""COMPUTED_VALUE"""),"Confidence and Competence: Empowering Women")</f>
        <v>Confidence and Competence: Empowering Women</v>
      </c>
      <c r="C578" s="8" t="str">
        <f>IFERROR(__xludf.DUMMYFUNCTION("""COMPUTED_VALUE"""),"Schon früh wird Frauen beigebracht, höflich zu sein und Regeln zu befolgen. Die Entwicklung von Perfektionismus und ein gehemmtes Selbstvertrauen sind die Folgen. Doch wie können Frauen ihr bestes Selbst erreichen? Erfahre es von Claire Shipman in diesem "&amp;"Kurs!")</f>
        <v>Schon früh wird Frauen beigebracht, höflich zu sein und Regeln zu befolgen. Die Entwicklung von Perfektionismus und ein gehemmtes Selbstvertrauen sind die Folgen. Doch wie können Frauen ihr bestes Selbst erreichen? Erfahre es von Claire Shipman in diesem Kurs!</v>
      </c>
      <c r="D578" s="8" t="str">
        <f>IFERROR(__xludf.DUMMYFUNCTION("""COMPUTED_VALUE"""),"From as early as grade school women are taught to be polite and follow rules. This can lead to the development of perfectionism and can inhibit confidence. How can we empower women to embrace their best selves? Claire Shipman gives you helpful advice on t"&amp;"his topic.")</f>
        <v>From as early as grade school women are taught to be polite and follow rules. This can lead to the development of perfectionism and can inhibit confidence. How can we empower women to embrace their best selves? Claire Shipman gives you helpful advice on this topic.</v>
      </c>
      <c r="E578" s="9" t="str">
        <f>IFERROR(__xludf.DUMMYFUNCTION("""COMPUTED_VALUE"""),"Global Citizenship")</f>
        <v>Global Citizenship</v>
      </c>
      <c r="F578" s="10" t="str">
        <f>IFERROR(__xludf.DUMMYFUNCTION("""COMPUTED_VALUE"""),"BigThink - Claire Shipman")</f>
        <v>BigThink - Claire Shipman</v>
      </c>
      <c r="G578" s="11">
        <f>IFERROR(__xludf.DUMMYFUNCTION("""COMPUTED_VALUE"""),42.0)</f>
        <v>42</v>
      </c>
      <c r="H578" s="11">
        <f>IFERROR(__xludf.DUMMYFUNCTION("""COMPUTED_VALUE"""),21.0)</f>
        <v>21</v>
      </c>
      <c r="I578" s="12" t="str">
        <f>IFERROR(__xludf.DUMMYFUNCTION("""COMPUTED_VALUE"""),"English, German")</f>
        <v>English, German</v>
      </c>
      <c r="J578" s="12" t="str">
        <f>IFERROR(__xludf.DUMMYFUNCTION("""COMPUTED_VALUE"""),"English")</f>
        <v>English</v>
      </c>
      <c r="K578" s="13">
        <f>IFERROR(__xludf.DUMMYFUNCTION("""COMPUTED_VALUE"""),44320.0)</f>
        <v>44320</v>
      </c>
      <c r="L578" s="14" t="str">
        <f>IFERROR(__xludf.DUMMYFUNCTION("""COMPUTED_VALUE"""),"https://masterplan.com/courses/frauen-im-unternehmen")</f>
        <v>https://masterplan.com/courses/frauen-im-unternehmen</v>
      </c>
    </row>
    <row r="579">
      <c r="A579" s="15" t="str">
        <f>IFERROR(__xludf.DUMMYFUNCTION("""COMPUTED_VALUE"""),"Verstehen und Begeistern: HR im 21. Jahrhundert")</f>
        <v>Verstehen und Begeistern: HR im 21. Jahrhundert</v>
      </c>
      <c r="B579" s="16" t="str">
        <f>IFERROR(__xludf.DUMMYFUNCTION("""COMPUTED_VALUE"""),"Understand and Engage: 21st Century HR Management")</f>
        <v>Understand and Engage: 21st Century HR Management</v>
      </c>
      <c r="C579" s="17" t="str">
        <f>IFERROR(__xludf.DUMMYFUNCTION("""COMPUTED_VALUE"""),"Unternehmen sind heutzutage von radikalen Veränderungen betroffen. Dies erfordert einen Paradigmenwechsel von überholten Modellen. Josh zeigt dir die wichtigsten Schritte, die das Engagement der Mitarbeiter fördert, damit Unternehmen erfolgreich sind!")</f>
        <v>Unternehmen sind heutzutage von radikalen Veränderungen betroffen. Dies erfordert einen Paradigmenwechsel von überholten Modellen. Josh zeigt dir die wichtigsten Schritte, die das Engagement der Mitarbeiter fördert, damit Unternehmen erfolgreich sind!</v>
      </c>
      <c r="D579" s="17" t="str">
        <f>IFERROR(__xludf.DUMMYFUNCTION("""COMPUTED_VALUE"""),"Companies today are impacted by radical changes in technology, culture, and individual needs. This requires a paradigm shift from outdated models. HR specialist Josh Bersin reveals key steps that foster the employee engagement, learning, and performance t"&amp;"hat companies need to succeed.")</f>
        <v>Companies today are impacted by radical changes in technology, culture, and individual needs. This requires a paradigm shift from outdated models. HR specialist Josh Bersin reveals key steps that foster the employee engagement, learning, and performance that companies need to succeed.</v>
      </c>
      <c r="E579" s="26" t="str">
        <f>IFERROR(__xludf.DUMMYFUNCTION("""COMPUTED_VALUE"""),"Collaboration and Leadership")</f>
        <v>Collaboration and Leadership</v>
      </c>
      <c r="F579" s="19" t="str">
        <f>IFERROR(__xludf.DUMMYFUNCTION("""COMPUTED_VALUE"""),"BigThink - Josh Bersin")</f>
        <v>BigThink - Josh Bersin</v>
      </c>
      <c r="G579" s="20">
        <f>IFERROR(__xludf.DUMMYFUNCTION("""COMPUTED_VALUE"""),27.0)</f>
        <v>27</v>
      </c>
      <c r="H579" s="20">
        <f>IFERROR(__xludf.DUMMYFUNCTION("""COMPUTED_VALUE"""),12.0)</f>
        <v>12</v>
      </c>
      <c r="I579" s="21" t="str">
        <f>IFERROR(__xludf.DUMMYFUNCTION("""COMPUTED_VALUE"""),"English, German")</f>
        <v>English, German</v>
      </c>
      <c r="J579" s="21" t="str">
        <f>IFERROR(__xludf.DUMMYFUNCTION("""COMPUTED_VALUE"""),"English")</f>
        <v>English</v>
      </c>
      <c r="K579" s="22">
        <f>IFERROR(__xludf.DUMMYFUNCTION("""COMPUTED_VALUE"""),44319.0)</f>
        <v>44319</v>
      </c>
      <c r="L579" s="23" t="str">
        <f>IFERROR(__xludf.DUMMYFUNCTION("""COMPUTED_VALUE"""),"https://masterplan.com/courses/verstehen-und-begeistern")</f>
        <v>https://masterplan.com/courses/verstehen-und-begeistern</v>
      </c>
    </row>
    <row r="580">
      <c r="A580" s="6" t="str">
        <f>IFERROR(__xludf.DUMMYFUNCTION("""COMPUTED_VALUE"""),"Vertrauen kultivieren und Mitarbeiter begeistern")</f>
        <v>Vertrauen kultivieren und Mitarbeiter begeistern</v>
      </c>
      <c r="B580" s="7" t="str">
        <f>IFERROR(__xludf.DUMMYFUNCTION("""COMPUTED_VALUE"""),"Trust and Purpose: Driving Employee Engagement")</f>
        <v>Trust and Purpose: Driving Employee Engagement</v>
      </c>
      <c r="C580" s="8" t="str">
        <f>IFERROR(__xludf.DUMMYFUNCTION("""COMPUTED_VALUE"""),"Jede*r möchte ein respektiertes Mitglied eines erfolgreichen Teams sein, das Sinnvolles tut, aber wie kann Führung das ermöglichen? In diesem Kurs lernst du die positiven Auswirkungen von offener Kommunikation, Vertrauen und einer sinnorientierten Arbeits"&amp;"weise kennen.")</f>
        <v>Jede*r möchte ein respektiertes Mitglied eines erfolgreichen Teams sein, das Sinnvolles tut, aber wie kann Führung das ermöglichen? In diesem Kurs lernst du die positiven Auswirkungen von offener Kommunikation, Vertrauen und einer sinnorientierten Arbeitsweise kennen.</v>
      </c>
      <c r="D580" s="8" t="str">
        <f>IFERROR(__xludf.DUMMYFUNCTION("""COMPUTED_VALUE"""),"Everyone wants to be a respected member of a winning team doing something meaningful, but how can leadership make that possible? In this course, you'll learn the revolutionary effects of making open communication, trust, and purpose a priority in the work"&amp;"place.")</f>
        <v>Everyone wants to be a respected member of a winning team doing something meaningful, but how can leadership make that possible? In this course, you'll learn the revolutionary effects of making open communication, trust, and purpose a priority in the workplace.</v>
      </c>
      <c r="E580" s="26" t="str">
        <f>IFERROR(__xludf.DUMMYFUNCTION("""COMPUTED_VALUE"""),"Collaboration and Leadership")</f>
        <v>Collaboration and Leadership</v>
      </c>
      <c r="F580" s="10" t="str">
        <f>IFERROR(__xludf.DUMMYFUNCTION("""COMPUTED_VALUE"""),"BigThink - Joel Peterson, Dan Pontefract")</f>
        <v>BigThink - Joel Peterson, Dan Pontefract</v>
      </c>
      <c r="G580" s="11">
        <f>IFERROR(__xludf.DUMMYFUNCTION("""COMPUTED_VALUE"""),31.0)</f>
        <v>31</v>
      </c>
      <c r="H580" s="11">
        <f>IFERROR(__xludf.DUMMYFUNCTION("""COMPUTED_VALUE"""),17.0)</f>
        <v>17</v>
      </c>
      <c r="I580" s="12" t="str">
        <f>IFERROR(__xludf.DUMMYFUNCTION("""COMPUTED_VALUE"""),"English, German")</f>
        <v>English, German</v>
      </c>
      <c r="J580" s="12" t="str">
        <f>IFERROR(__xludf.DUMMYFUNCTION("""COMPUTED_VALUE"""),"English")</f>
        <v>English</v>
      </c>
      <c r="K580" s="13">
        <f>IFERROR(__xludf.DUMMYFUNCTION("""COMPUTED_VALUE"""),44316.0)</f>
        <v>44316</v>
      </c>
      <c r="L580" s="14" t="str">
        <f>IFERROR(__xludf.DUMMYFUNCTION("""COMPUTED_VALUE"""),"https://masterplan.com/courses/vertrauen-kultivieren-und-mitarbeiter-begeistern")</f>
        <v>https://masterplan.com/courses/vertrauen-kultivieren-und-mitarbeiter-begeistern</v>
      </c>
    </row>
    <row r="581">
      <c r="A581" s="15" t="str">
        <f>IFERROR(__xludf.DUMMYFUNCTION("""COMPUTED_VALUE"""),"Smarte Arbeit statt harter Arbeit")</f>
        <v>Smarte Arbeit statt harter Arbeit</v>
      </c>
      <c r="B581" s="16" t="str">
        <f>IFERROR(__xludf.DUMMYFUNCTION("""COMPUTED_VALUE"""),"This Could Have Been an Email: Use Time Wisely")</f>
        <v>This Could Have Been an Email: Use Time Wisely</v>
      </c>
      <c r="C581" s="17" t="str">
        <f>IFERROR(__xludf.DUMMYFUNCTION("""COMPUTED_VALUE"""),"Was glaubst du? Wie viel Zeit wird in Meetings produktiv genutzt? In diesem Kurs erklärt die Produktivitätsexpertin Carson Tate einfache Strategien, die dir helfen, deine eigene Motivation und Produktivität zu nutzen und das kreative Potenzial deines Team"&amp;"s zu entfalten.")</f>
        <v>Was glaubst du? Wie viel Zeit wird in Meetings produktiv genutzt? In diesem Kurs erklärt die Produktivitätsexpertin Carson Tate einfache Strategien, die dir helfen, deine eigene Motivation und Produktivität zu nutzen und das kreative Potenzial deines Teams zu entfalten.</v>
      </c>
      <c r="D581" s="17" t="str">
        <f>IFERROR(__xludf.DUMMYFUNCTION("""COMPUTED_VALUE"""),"How much time in meetings do you feel is used productively? In this course, author and productivity expert Carson Tate explains a few simple strategies to help harness your own motivation and productivity, and unlock the creative potential of your team.")</f>
        <v>How much time in meetings do you feel is used productively? In this course, author and productivity expert Carson Tate explains a few simple strategies to help harness your own motivation and productivity, and unlock the creative potential of your team.</v>
      </c>
      <c r="E581" s="24" t="str">
        <f>IFERROR(__xludf.DUMMYFUNCTION("""COMPUTED_VALUE"""),"Emotional Intelligence")</f>
        <v>Emotional Intelligence</v>
      </c>
      <c r="F581" s="19" t="str">
        <f>IFERROR(__xludf.DUMMYFUNCTION("""COMPUTED_VALUE"""),"BigThink - Carson Tate")</f>
        <v>BigThink - Carson Tate</v>
      </c>
      <c r="G581" s="20">
        <f>IFERROR(__xludf.DUMMYFUNCTION("""COMPUTED_VALUE"""),50.0)</f>
        <v>50</v>
      </c>
      <c r="H581" s="20">
        <f>IFERROR(__xludf.DUMMYFUNCTION("""COMPUTED_VALUE"""),20.0)</f>
        <v>20</v>
      </c>
      <c r="I581" s="21" t="str">
        <f>IFERROR(__xludf.DUMMYFUNCTION("""COMPUTED_VALUE"""),"English, German")</f>
        <v>English, German</v>
      </c>
      <c r="J581" s="21" t="str">
        <f>IFERROR(__xludf.DUMMYFUNCTION("""COMPUTED_VALUE"""),"English")</f>
        <v>English</v>
      </c>
      <c r="K581" s="22">
        <f>IFERROR(__xludf.DUMMYFUNCTION("""COMPUTED_VALUE"""),44312.0)</f>
        <v>44312</v>
      </c>
      <c r="L581" s="23" t="str">
        <f>IFERROR(__xludf.DUMMYFUNCTION("""COMPUTED_VALUE"""),"https://masterplan.com/courses/smarte-arbeit-statt-harter-arbeit")</f>
        <v>https://masterplan.com/courses/smarte-arbeit-statt-harter-arbeit</v>
      </c>
    </row>
    <row r="582">
      <c r="A582" s="6" t="str">
        <f>IFERROR(__xludf.DUMMYFUNCTION("""COMPUTED_VALUE"""),"Office 365: Zusammenarbeit")</f>
        <v>Office 365: Zusammenarbeit</v>
      </c>
      <c r="B582" s="7" t="str">
        <f>IFERROR(__xludf.DUMMYFUNCTION("""COMPUTED_VALUE"""),"n.a.")</f>
        <v>n.a.</v>
      </c>
      <c r="C582" s="8" t="str">
        <f>IFERROR(__xludf.DUMMYFUNCTION("""COMPUTED_VALUE"""),"Web-App und Desktop-App: Musst du mit der Desktop-App bearbeitete Dateien immer erst für dein Team hochladen? Dateien lieber über Teams oder SharePoint speichern? In diesem Kurs zeigt dir Holger einen Überblick, wie die Zusammenarbeit mit Office 365 funkt"&amp;"ioniert!")</f>
        <v>Web-App und Desktop-App: Musst du mit der Desktop-App bearbeitete Dateien immer erst für dein Team hochladen? Dateien lieber über Teams oder SharePoint speichern? In diesem Kurs zeigt dir Holger einen Überblick, wie die Zusammenarbeit mit Office 365 funktioniert!</v>
      </c>
      <c r="D582" s="8" t="str">
        <f>IFERROR(__xludf.DUMMYFUNCTION("""COMPUTED_VALUE"""),"in progress")</f>
        <v>in progress</v>
      </c>
      <c r="E582" s="27" t="str">
        <f>IFERROR(__xludf.DUMMYFUNCTION("""COMPUTED_VALUE"""),"Tools &amp; Tutorials")</f>
        <v>Tools &amp; Tutorials</v>
      </c>
      <c r="F582" s="10" t="str">
        <f>IFERROR(__xludf.DUMMYFUNCTION("""COMPUTED_VALUE"""),"Zeit im Griff - Holger Wöltje")</f>
        <v>Zeit im Griff - Holger Wöltje</v>
      </c>
      <c r="G582" s="11">
        <f>IFERROR(__xludf.DUMMYFUNCTION("""COMPUTED_VALUE"""),71.0)</f>
        <v>71</v>
      </c>
      <c r="H582" s="11">
        <f>IFERROR(__xludf.DUMMYFUNCTION("""COMPUTED_VALUE"""),27.0)</f>
        <v>27</v>
      </c>
      <c r="I582" s="12" t="str">
        <f>IFERROR(__xludf.DUMMYFUNCTION("""COMPUTED_VALUE"""),"German")</f>
        <v>German</v>
      </c>
      <c r="J582" s="12" t="str">
        <f>IFERROR(__xludf.DUMMYFUNCTION("""COMPUTED_VALUE"""),"German")</f>
        <v>German</v>
      </c>
      <c r="K582" s="13">
        <f>IFERROR(__xludf.DUMMYFUNCTION("""COMPUTED_VALUE"""),44312.0)</f>
        <v>44312</v>
      </c>
      <c r="L582" s="14" t="str">
        <f>IFERROR(__xludf.DUMMYFUNCTION("""COMPUTED_VALUE"""),"https://masterplan.com/courses/office-365-zusammenarbeit")</f>
        <v>https://masterplan.com/courses/office-365-zusammenarbeit</v>
      </c>
    </row>
    <row r="583">
      <c r="A583" s="15" t="str">
        <f>IFERROR(__xludf.DUMMYFUNCTION("""COMPUTED_VALUE"""),"Gewohnheitssache: Gesunde Verhaltensweisen im Alltag")</f>
        <v>Gewohnheitssache: Gesunde Verhaltensweisen im Alltag</v>
      </c>
      <c r="B583" s="16" t="str">
        <f>IFERROR(__xludf.DUMMYFUNCTION("""COMPUTED_VALUE"""),"Healthy Habits: Form and Sustain New Behaviors")</f>
        <v>Healthy Habits: Form and Sustain New Behaviors</v>
      </c>
      <c r="C583" s="17" t="str">
        <f>IFERROR(__xludf.DUMMYFUNCTION("""COMPUTED_VALUE"""),"Hast du deine Neujahrsvorsätze umgesetzt, oder doch auf das kommende Jahr verschoben? Sich neue Gewohnheiten anzueignen ist schwer, aber es ist nicht unmöglich. In diesem Kurs erklärt dir Gretchen Rubin, wie du neue Gewohnheiten schnell und effektiv umset"&amp;"zen kannst!")</f>
        <v>Hast du deine Neujahrsvorsätze umgesetzt, oder doch auf das kommende Jahr verschoben? Sich neue Gewohnheiten anzueignen ist schwer, aber es ist nicht unmöglich. In diesem Kurs erklärt dir Gretchen Rubin, wie du neue Gewohnheiten schnell und effektiv umsetzen kannst!</v>
      </c>
      <c r="D583" s="17" t="str">
        <f>IFERROR(__xludf.DUMMYFUNCTION("""COMPUTED_VALUE"""),"Did you follow through on your New Year's resolutions, or did you put them off until next year? Forming new habits is difficult, but not impossible. In this course, Gretchen Rubin explains how you can implement new habits quickly and effectively!")</f>
        <v>Did you follow through on your New Year's resolutions, or did you put them off until next year? Forming new habits is difficult, but not impossible. In this course, Gretchen Rubin explains how you can implement new habits quickly and effectively!</v>
      </c>
      <c r="E583" s="24" t="str">
        <f>IFERROR(__xludf.DUMMYFUNCTION("""COMPUTED_VALUE"""),"Emotional Intelligence")</f>
        <v>Emotional Intelligence</v>
      </c>
      <c r="F583" s="19" t="str">
        <f>IFERROR(__xludf.DUMMYFUNCTION("""COMPUTED_VALUE"""),"BigThink - Gretchen Rubin")</f>
        <v>BigThink - Gretchen Rubin</v>
      </c>
      <c r="G583" s="20">
        <f>IFERROR(__xludf.DUMMYFUNCTION("""COMPUTED_VALUE"""),25.0)</f>
        <v>25</v>
      </c>
      <c r="H583" s="20">
        <f>IFERROR(__xludf.DUMMYFUNCTION("""COMPUTED_VALUE"""),13.0)</f>
        <v>13</v>
      </c>
      <c r="I583" s="21" t="str">
        <f>IFERROR(__xludf.DUMMYFUNCTION("""COMPUTED_VALUE"""),"English, German")</f>
        <v>English, German</v>
      </c>
      <c r="J583" s="21" t="str">
        <f>IFERROR(__xludf.DUMMYFUNCTION("""COMPUTED_VALUE"""),"English")</f>
        <v>English</v>
      </c>
      <c r="K583" s="22">
        <f>IFERROR(__xludf.DUMMYFUNCTION("""COMPUTED_VALUE"""),44311.0)</f>
        <v>44311</v>
      </c>
      <c r="L583" s="23" t="str">
        <f>IFERROR(__xludf.DUMMYFUNCTION("""COMPUTED_VALUE"""),"https://masterplan.com/courses/gewohnheitssache-gesunde-verhaltensweisen-im-alltag")</f>
        <v>https://masterplan.com/courses/gewohnheitssache-gesunde-verhaltensweisen-im-alltag</v>
      </c>
    </row>
    <row r="584">
      <c r="A584" s="6" t="str">
        <f>IFERROR(__xludf.DUMMYFUNCTION("""COMPUTED_VALUE"""),"Zuhören und Helfen: Feedback als Führungskompetenz")</f>
        <v>Zuhören und Helfen: Feedback als Führungskompetenz</v>
      </c>
      <c r="B584" s="7" t="str">
        <f>IFERROR(__xludf.DUMMYFUNCTION("""COMPUTED_VALUE"""),"Listen and Help: How to Be a Truly Supportive Leader")</f>
        <v>Listen and Help: How to Be a Truly Supportive Leader</v>
      </c>
      <c r="C584" s="8" t="str">
        <f>IFERROR(__xludf.DUMMYFUNCTION("""COMPUTED_VALUE"""),"Eine unterschätzte Führungskompetenz ist das richtige Zuhören. Hörst du richtig zu? Denn wenn du das tust, dann wirst du geschätzt und auch dir wird zugehört. Das und wie du effektives Feedback gibst, lernst du hier!")</f>
        <v>Eine unterschätzte Führungskompetenz ist das richtige Zuhören. Hörst du richtig zu? Denn wenn du das tust, dann wirst du geschätzt und auch dir wird zugehört. Das und wie du effektives Feedback gibst, lernst du hier!</v>
      </c>
      <c r="D584" s="8" t="str">
        <f>IFERROR(__xludf.DUMMYFUNCTION("""COMPUTED_VALUE"""),"A leadership skill that is often underestimated is the ability to listen. Do you listen properly? Because if you do, people will appreciate you and listen to you, too. Here you'll learn the power of listening as well as effective feedback.")</f>
        <v>A leadership skill that is often underestimated is the ability to listen. Do you listen properly? Because if you do, people will appreciate you and listen to you, too. Here you'll learn the power of listening as well as effective feedback.</v>
      </c>
      <c r="E584" s="28" t="str">
        <f>IFERROR(__xludf.DUMMYFUNCTION("""COMPUTED_VALUE"""),"Communication")</f>
        <v>Communication</v>
      </c>
      <c r="F584" s="10" t="str">
        <f>IFERROR(__xludf.DUMMYFUNCTION("""COMPUTED_VALUE"""),"BigThink - Michelle Lederman")</f>
        <v>BigThink - Michelle Lederman</v>
      </c>
      <c r="G584" s="11">
        <f>IFERROR(__xludf.DUMMYFUNCTION("""COMPUTED_VALUE"""),25.0)</f>
        <v>25</v>
      </c>
      <c r="H584" s="11">
        <f>IFERROR(__xludf.DUMMYFUNCTION("""COMPUTED_VALUE"""),14.0)</f>
        <v>14</v>
      </c>
      <c r="I584" s="12" t="str">
        <f>IFERROR(__xludf.DUMMYFUNCTION("""COMPUTED_VALUE"""),"English, German")</f>
        <v>English, German</v>
      </c>
      <c r="J584" s="12" t="str">
        <f>IFERROR(__xludf.DUMMYFUNCTION("""COMPUTED_VALUE"""),"English")</f>
        <v>English</v>
      </c>
      <c r="K584" s="13">
        <f>IFERROR(__xludf.DUMMYFUNCTION("""COMPUTED_VALUE"""),44309.0)</f>
        <v>44309</v>
      </c>
      <c r="L584" s="14" t="str">
        <f>IFERROR(__xludf.DUMMYFUNCTION("""COMPUTED_VALUE"""),"https://masterplan.com/courses/feedback-als-fuehrungskompetenz")</f>
        <v>https://masterplan.com/courses/feedback-als-fuehrungskompetenz</v>
      </c>
    </row>
    <row r="585">
      <c r="A585" s="15" t="str">
        <f>IFERROR(__xludf.DUMMYFUNCTION("""COMPUTED_VALUE"""),"Produktivität: was effiziente Teams ausmacht")</f>
        <v>Produktivität: was effiziente Teams ausmacht</v>
      </c>
      <c r="B585" s="16" t="str">
        <f>IFERROR(__xludf.DUMMYFUNCTION("""COMPUTED_VALUE"""),"Cut to the Chase: Modern Science on Productivity")</f>
        <v>Cut to the Chase: Modern Science on Productivity</v>
      </c>
      <c r="C585" s="17" t="str">
        <f>IFERROR(__xludf.DUMMYFUNCTION("""COMPUTED_VALUE"""),"Wenn es um Produktivität geht, gibt es viele falsche Annahmen. In diesem Kurs zeigt dir  Charles Duhigg wie wir unsere To-Do-Listen überschaubar halten und so deine größten Ambitionen umsetzen kannst!")</f>
        <v>Wenn es um Produktivität geht, gibt es viele falsche Annahmen. In diesem Kurs zeigt dir  Charles Duhigg wie wir unsere To-Do-Listen überschaubar halten und so deine größten Ambitionen umsetzen kannst!</v>
      </c>
      <c r="D585" s="17" t="str">
        <f>IFERROR(__xludf.DUMMYFUNCTION("""COMPUTED_VALUE"""),"When it comes to productivity, there's a lot the current philosophy gets wrong. In this course, Charles Duhigg shows us how to turn our typical to-do lists into manageable, actionable, motivational, and efficient processes to help us achieve our biggest a"&amp;"mbitions.")</f>
        <v>When it comes to productivity, there's a lot the current philosophy gets wrong. In this course, Charles Duhigg shows us how to turn our typical to-do lists into manageable, actionable, motivational, and efficient processes to help us achieve our biggest ambitions.</v>
      </c>
      <c r="E585" s="26" t="str">
        <f>IFERROR(__xludf.DUMMYFUNCTION("""COMPUTED_VALUE"""),"Collaboration and Leadership")</f>
        <v>Collaboration and Leadership</v>
      </c>
      <c r="F585" s="19" t="str">
        <f>IFERROR(__xludf.DUMMYFUNCTION("""COMPUTED_VALUE"""),"BigThink - Charles Duhigg &amp; Tim Ferriss")</f>
        <v>BigThink - Charles Duhigg &amp; Tim Ferriss</v>
      </c>
      <c r="G585" s="20">
        <f>IFERROR(__xludf.DUMMYFUNCTION("""COMPUTED_VALUE"""),49.0)</f>
        <v>49</v>
      </c>
      <c r="H585" s="20">
        <f>IFERROR(__xludf.DUMMYFUNCTION("""COMPUTED_VALUE"""),17.0)</f>
        <v>17</v>
      </c>
      <c r="I585" s="21" t="str">
        <f>IFERROR(__xludf.DUMMYFUNCTION("""COMPUTED_VALUE"""),"English, German")</f>
        <v>English, German</v>
      </c>
      <c r="J585" s="21" t="str">
        <f>IFERROR(__xludf.DUMMYFUNCTION("""COMPUTED_VALUE"""),"English")</f>
        <v>English</v>
      </c>
      <c r="K585" s="22">
        <f>IFERROR(__xludf.DUMMYFUNCTION("""COMPUTED_VALUE"""),44305.0)</f>
        <v>44305</v>
      </c>
      <c r="L585" s="23" t="str">
        <f>IFERROR(__xludf.DUMMYFUNCTION("""COMPUTED_VALUE"""),"https://masterplan.com/courses/produktivitaet-was-effiziente-teams-ausmacht")</f>
        <v>https://masterplan.com/courses/produktivitaet-was-effiziente-teams-ausmacht</v>
      </c>
    </row>
    <row r="586">
      <c r="A586" s="6" t="str">
        <f>IFERROR(__xludf.DUMMYFUNCTION("""COMPUTED_VALUE"""),"Innovation als Unternehmenskultur")</f>
        <v>Innovation als Unternehmenskultur</v>
      </c>
      <c r="B586" s="7" t="str">
        <f>IFERROR(__xludf.DUMMYFUNCTION("""COMPUTED_VALUE"""),"Creating a Culture of Innovation")</f>
        <v>Creating a Culture of Innovation</v>
      </c>
      <c r="C586" s="8" t="str">
        <f>IFERROR(__xludf.DUMMYFUNCTION("""COMPUTED_VALUE"""),"Du möchtest wissen, wie du mit kleinen Tricks und Veränderungen in deinem Unternehmen viel Platz für Innovationen schaffen kannst? Lisa Bodell gibt dir konkrete Übungen mit an die Hand, die du sofort umsetzen kannst!")</f>
        <v>Du möchtest wissen, wie du mit kleinen Tricks und Veränderungen in deinem Unternehmen viel Platz für Innovationen schaffen kannst? Lisa Bodell gibt dir konkrete Übungen mit an die Hand, die du sofort umsetzen kannst!</v>
      </c>
      <c r="D586" s="8" t="str">
        <f>IFERROR(__xludf.DUMMYFUNCTION("""COMPUTED_VALUE"""),"Interested in learning how you can create a space for innovation in your company through small tricks and changes? Lisa Bodell will give you concrete exercises that you can immediately put into practice!")</f>
        <v>Interested in learning how you can create a space for innovation in your company through small tricks and changes? Lisa Bodell will give you concrete exercises that you can immediately put into practice!</v>
      </c>
      <c r="E586" s="18" t="str">
        <f>IFERROR(__xludf.DUMMYFUNCTION("""COMPUTED_VALUE"""),"Creativity and Innovation")</f>
        <v>Creativity and Innovation</v>
      </c>
      <c r="F586" s="10" t="str">
        <f>IFERROR(__xludf.DUMMYFUNCTION("""COMPUTED_VALUE"""),"BigThink - Lisa Bodell")</f>
        <v>BigThink - Lisa Bodell</v>
      </c>
      <c r="G586" s="11">
        <f>IFERROR(__xludf.DUMMYFUNCTION("""COMPUTED_VALUE"""),23.0)</f>
        <v>23</v>
      </c>
      <c r="H586" s="11">
        <f>IFERROR(__xludf.DUMMYFUNCTION("""COMPUTED_VALUE"""),21.0)</f>
        <v>21</v>
      </c>
      <c r="I586" s="12" t="str">
        <f>IFERROR(__xludf.DUMMYFUNCTION("""COMPUTED_VALUE"""),"English, German")</f>
        <v>English, German</v>
      </c>
      <c r="J586" s="12" t="str">
        <f>IFERROR(__xludf.DUMMYFUNCTION("""COMPUTED_VALUE"""),"English")</f>
        <v>English</v>
      </c>
      <c r="K586" s="13">
        <f>IFERROR(__xludf.DUMMYFUNCTION("""COMPUTED_VALUE"""),44301.0)</f>
        <v>44301</v>
      </c>
      <c r="L586" s="14" t="str">
        <f>IFERROR(__xludf.DUMMYFUNCTION("""COMPUTED_VALUE"""),"https://masterplan.com/courses/innovation-als-unternehmenskultur")</f>
        <v>https://masterplan.com/courses/innovation-als-unternehmenskultur</v>
      </c>
    </row>
    <row r="587">
      <c r="A587" s="15" t="str">
        <f>IFERROR(__xludf.DUMMYFUNCTION("""COMPUTED_VALUE"""),"Office 365: SharePoint Advanced")</f>
        <v>Office 365: SharePoint Advanced</v>
      </c>
      <c r="B587" s="16" t="str">
        <f>IFERROR(__xludf.DUMMYFUNCTION("""COMPUTED_VALUE"""),"n.a.")</f>
        <v>n.a.</v>
      </c>
      <c r="C587" s="17" t="str">
        <f>IFERROR(__xludf.DUMMYFUNCTION("""COMPUTED_VALUE"""),"Microsoft SharePoint - Welche weiteren Funktionen hält dieses Tool für dich bereit? In diesem Kurs erklärt dir Holger weitere nützliche Funktionen von SharePoint: Von dem Erstellen neuer Sites, über die Synchronisation, bis hin zu dem Verwalten der Berech"&amp;"tigungen.")</f>
        <v>Microsoft SharePoint - Welche weiteren Funktionen hält dieses Tool für dich bereit? In diesem Kurs erklärt dir Holger weitere nützliche Funktionen von SharePoint: Von dem Erstellen neuer Sites, über die Synchronisation, bis hin zu dem Verwalten der Berechtigungen.</v>
      </c>
      <c r="D587" s="17" t="str">
        <f>IFERROR(__xludf.DUMMYFUNCTION("""COMPUTED_VALUE"""),"in progress")</f>
        <v>in progress</v>
      </c>
      <c r="E587" s="27" t="str">
        <f>IFERROR(__xludf.DUMMYFUNCTION("""COMPUTED_VALUE"""),"Tools &amp; Tutorials")</f>
        <v>Tools &amp; Tutorials</v>
      </c>
      <c r="F587" s="19" t="str">
        <f>IFERROR(__xludf.DUMMYFUNCTION("""COMPUTED_VALUE"""),"Zeit im Griff - Holger Wöltje")</f>
        <v>Zeit im Griff - Holger Wöltje</v>
      </c>
      <c r="G587" s="20">
        <f>IFERROR(__xludf.DUMMYFUNCTION("""COMPUTED_VALUE"""),55.0)</f>
        <v>55</v>
      </c>
      <c r="H587" s="20">
        <f>IFERROR(__xludf.DUMMYFUNCTION("""COMPUTED_VALUE"""),24.0)</f>
        <v>24</v>
      </c>
      <c r="I587" s="21" t="str">
        <f>IFERROR(__xludf.DUMMYFUNCTION("""COMPUTED_VALUE"""),"German")</f>
        <v>German</v>
      </c>
      <c r="J587" s="21" t="str">
        <f>IFERROR(__xludf.DUMMYFUNCTION("""COMPUTED_VALUE"""),"German")</f>
        <v>German</v>
      </c>
      <c r="K587" s="22">
        <f>IFERROR(__xludf.DUMMYFUNCTION("""COMPUTED_VALUE"""),44295.0)</f>
        <v>44295</v>
      </c>
      <c r="L587" s="23" t="str">
        <f>IFERROR(__xludf.DUMMYFUNCTION("""COMPUTED_VALUE"""),"https://masterplan.com/courses/office365-sharepoint-advanced")</f>
        <v>https://masterplan.com/courses/office365-sharepoint-advanced</v>
      </c>
    </row>
    <row r="588">
      <c r="A588" s="6" t="str">
        <f>IFERROR(__xludf.DUMMYFUNCTION("""COMPUTED_VALUE"""),"Authentische Führung - der Schlüssel zum Erfolg")</f>
        <v>Authentische Führung - der Schlüssel zum Erfolg</v>
      </c>
      <c r="B588" s="7" t="str">
        <f>IFERROR(__xludf.DUMMYFUNCTION("""COMPUTED_VALUE"""),"Authenticity as the Key to Successful Leadership")</f>
        <v>Authenticity as the Key to Successful Leadership</v>
      </c>
      <c r="C588" s="8" t="str">
        <f>IFERROR(__xludf.DUMMYFUNCTION("""COMPUTED_VALUE"""),"Was macht eine gute Führungskraft aus? Gute Führungskräfte entscheiden sich für das, woran sie glauben und handeln danach. Hier erfährst du, wie du effektiv eine leitende Vision für dich selbst festlegen und nutzen kannst, um dein Team zu inspirieren dies"&amp;"e zu erreichen.")</f>
        <v>Was macht eine gute Führungskraft aus? Gute Führungskräfte entscheiden sich für das, woran sie glauben und handeln danach. Hier erfährst du, wie du effektiv eine leitende Vision für dich selbst festlegen und nutzen kannst, um dein Team zu inspirieren diese zu erreichen.</v>
      </c>
      <c r="D588" s="8" t="str">
        <f>IFERROR(__xludf.DUMMYFUNCTION("""COMPUTED_VALUE"""),"What makes a good leader? A good leader decides in what they believe, and has the courage to act on it. Learn how effective leaders establish a guiding vision for themselves and use that to inspire their team to achieve it.")</f>
        <v>What makes a good leader? A good leader decides in what they believe, and has the courage to act on it. Learn how effective leaders establish a guiding vision for themselves and use that to inspire their team to achieve it.</v>
      </c>
      <c r="E588" s="26" t="str">
        <f>IFERROR(__xludf.DUMMYFUNCTION("""COMPUTED_VALUE"""),"Collaboration and Leadership")</f>
        <v>Collaboration and Leadership</v>
      </c>
      <c r="F588" s="10" t="str">
        <f>IFERROR(__xludf.DUMMYFUNCTION("""COMPUTED_VALUE"""),"BigThink")</f>
        <v>BigThink</v>
      </c>
      <c r="G588" s="11">
        <f>IFERROR(__xludf.DUMMYFUNCTION("""COMPUTED_VALUE"""),77.0)</f>
        <v>77</v>
      </c>
      <c r="H588" s="11">
        <f>IFERROR(__xludf.DUMMYFUNCTION("""COMPUTED_VALUE"""),27.0)</f>
        <v>27</v>
      </c>
      <c r="I588" s="12" t="str">
        <f>IFERROR(__xludf.DUMMYFUNCTION("""COMPUTED_VALUE"""),"English, German")</f>
        <v>English, German</v>
      </c>
      <c r="J588" s="12" t="str">
        <f>IFERROR(__xludf.DUMMYFUNCTION("""COMPUTED_VALUE"""),"English")</f>
        <v>English</v>
      </c>
      <c r="K588" s="13">
        <f>IFERROR(__xludf.DUMMYFUNCTION("""COMPUTED_VALUE"""),44287.0)</f>
        <v>44287</v>
      </c>
      <c r="L588" s="14" t="str">
        <f>IFERROR(__xludf.DUMMYFUNCTION("""COMPUTED_VALUE"""),"https://masterplan.com/courses/authentizitaet-als-schluessel-zum-erfolg")</f>
        <v>https://masterplan.com/courses/authentizitaet-als-schluessel-zum-erfolg</v>
      </c>
    </row>
    <row r="589">
      <c r="A589" s="15" t="str">
        <f>IFERROR(__xludf.DUMMYFUNCTION("""COMPUTED_VALUE"""),"Office 365: SharePoint Basics")</f>
        <v>Office 365: SharePoint Basics</v>
      </c>
      <c r="B589" s="16" t="str">
        <f>IFERROR(__xludf.DUMMYFUNCTION("""COMPUTED_VALUE"""),"n.a.")</f>
        <v>n.a.</v>
      </c>
      <c r="C589" s="17" t="str">
        <f>IFERROR(__xludf.DUMMYFUNCTION("""COMPUTED_VALUE"""),"Gib deinen Kolleg*innen schnell Dokumente frei oder sammle die Projektplanung übersichtlich an einem Ort - mit SharePoint kann die Zusammenarbeit in Teams erleichtert werden. Die ersten Schritte und Funktionen erklärt dir unser Microsoft-Experte Holger in"&amp;" diesem Basic-Kurs!")</f>
        <v>Gib deinen Kolleg*innen schnell Dokumente frei oder sammle die Projektplanung übersichtlich an einem Ort - mit SharePoint kann die Zusammenarbeit in Teams erleichtert werden. Die ersten Schritte und Funktionen erklärt dir unser Microsoft-Experte Holger in diesem Basic-Kurs!</v>
      </c>
      <c r="D589" s="17" t="str">
        <f>IFERROR(__xludf.DUMMYFUNCTION("""COMPUTED_VALUE"""),"in progress")</f>
        <v>in progress</v>
      </c>
      <c r="E589" s="27" t="str">
        <f>IFERROR(__xludf.DUMMYFUNCTION("""COMPUTED_VALUE"""),"Tools &amp; Tutorials")</f>
        <v>Tools &amp; Tutorials</v>
      </c>
      <c r="F589" s="19" t="str">
        <f>IFERROR(__xludf.DUMMYFUNCTION("""COMPUTED_VALUE"""),"Zeit im Griff - Holger Wöltje")</f>
        <v>Zeit im Griff - Holger Wöltje</v>
      </c>
      <c r="G589" s="20">
        <f>IFERROR(__xludf.DUMMYFUNCTION("""COMPUTED_VALUE"""),70.0)</f>
        <v>70</v>
      </c>
      <c r="H589" s="20">
        <f>IFERROR(__xludf.DUMMYFUNCTION("""COMPUTED_VALUE"""),27.0)</f>
        <v>27</v>
      </c>
      <c r="I589" s="21" t="str">
        <f>IFERROR(__xludf.DUMMYFUNCTION("""COMPUTED_VALUE"""),"German")</f>
        <v>German</v>
      </c>
      <c r="J589" s="21" t="str">
        <f>IFERROR(__xludf.DUMMYFUNCTION("""COMPUTED_VALUE"""),"German")</f>
        <v>German</v>
      </c>
      <c r="K589" s="22">
        <f>IFERROR(__xludf.DUMMYFUNCTION("""COMPUTED_VALUE"""),44284.0)</f>
        <v>44284</v>
      </c>
      <c r="L589" s="23" t="str">
        <f>IFERROR(__xludf.DUMMYFUNCTION("""COMPUTED_VALUE"""),"https://masterplan.com/courses/office365-sharepoint-basics")</f>
        <v>https://masterplan.com/courses/office365-sharepoint-basics</v>
      </c>
    </row>
    <row r="590">
      <c r="A590" s="6" t="str">
        <f>IFERROR(__xludf.DUMMYFUNCTION("""COMPUTED_VALUE"""),"Achtsamkeit bei der Arbeit für bessere Leistung")</f>
        <v>Achtsamkeit bei der Arbeit für bessere Leistung</v>
      </c>
      <c r="B590" s="7" t="str">
        <f>IFERROR(__xludf.DUMMYFUNCTION("""COMPUTED_VALUE"""),"Mindfulness at Work for Better Performance")</f>
        <v>Mindfulness at Work for Better Performance</v>
      </c>
      <c r="C590" s="8" t="str">
        <f>IFERROR(__xludf.DUMMYFUNCTION("""COMPUTED_VALUE"""),"Wie kann das Praktizieren von Achtsamkeit nicht nur dir selbst, sondern auch deinem Unternehmen nützen? Der Achtsamkeitsexperte Rasmus Hougaard erklärt, wie Achtsamkeit zu Verbesserungen in Beziehungen, bei Entscheidungen und Ergebnissen insgesamt führen "&amp;"kann.")</f>
        <v>Wie kann das Praktizieren von Achtsamkeit nicht nur dir selbst, sondern auch deinem Unternehmen nützen? Der Achtsamkeitsexperte Rasmus Hougaard erklärt, wie Achtsamkeit zu Verbesserungen in Beziehungen, bei Entscheidungen und Ergebnissen insgesamt führen kann.</v>
      </c>
      <c r="D590" s="8" t="str">
        <f>IFERROR(__xludf.DUMMYFUNCTION("""COMPUTED_VALUE"""),"How can practicing mindfulness benefit not only yourself, but also your business? Mindfulness expert Rasmus Hougaard teaches us how to regain control of our action-addicted brains, which leads to better decisions, relationships, and outcomes for everyone.")</f>
        <v>How can practicing mindfulness benefit not only yourself, but also your business? Mindfulness expert Rasmus Hougaard teaches us how to regain control of our action-addicted brains, which leads to better decisions, relationships, and outcomes for everyone.</v>
      </c>
      <c r="E590" s="24" t="str">
        <f>IFERROR(__xludf.DUMMYFUNCTION("""COMPUTED_VALUE"""),"Emotional Intelligence")</f>
        <v>Emotional Intelligence</v>
      </c>
      <c r="F590" s="10" t="str">
        <f>IFERROR(__xludf.DUMMYFUNCTION("""COMPUTED_VALUE"""),"BigThink - Rasmus Hougaard ")</f>
        <v>BigThink - Rasmus Hougaard </v>
      </c>
      <c r="G590" s="11">
        <f>IFERROR(__xludf.DUMMYFUNCTION("""COMPUTED_VALUE"""),32.0)</f>
        <v>32</v>
      </c>
      <c r="H590" s="11">
        <f>IFERROR(__xludf.DUMMYFUNCTION("""COMPUTED_VALUE"""),17.0)</f>
        <v>17</v>
      </c>
      <c r="I590" s="12" t="str">
        <f>IFERROR(__xludf.DUMMYFUNCTION("""COMPUTED_VALUE"""),"English, German")</f>
        <v>English, German</v>
      </c>
      <c r="J590" s="12" t="str">
        <f>IFERROR(__xludf.DUMMYFUNCTION("""COMPUTED_VALUE"""),"English")</f>
        <v>English</v>
      </c>
      <c r="K590" s="13">
        <f>IFERROR(__xludf.DUMMYFUNCTION("""COMPUTED_VALUE"""),44270.0)</f>
        <v>44270</v>
      </c>
      <c r="L590" s="14" t="str">
        <f>IFERROR(__xludf.DUMMYFUNCTION("""COMPUTED_VALUE"""),"https://masterplan.com/courses/mindfulness-at-work")</f>
        <v>https://masterplan.com/courses/mindfulness-at-work</v>
      </c>
    </row>
    <row r="591">
      <c r="A591" s="15" t="str">
        <f>IFERROR(__xludf.DUMMYFUNCTION("""COMPUTED_VALUE"""),"Innovation und Wandel: Was Führungskräfte wissen müssen")</f>
        <v>Innovation und Wandel: Was Führungskräfte wissen müssen</v>
      </c>
      <c r="B591" s="16" t="str">
        <f>IFERROR(__xludf.DUMMYFUNCTION("""COMPUTED_VALUE"""),"Innovate and Transform: A Practical Guide for Leaders
")</f>
        <v>Innovate and Transform: A Practical Guide for Leaders
</v>
      </c>
      <c r="C591" s="17" t="str">
        <f>IFERROR(__xludf.DUMMYFUNCTION("""COMPUTED_VALUE"""),"Ohne eine Innovationskultur zu entwickeln fallen Unternehmen schnell zurück. Was sind die entscheidenden Aspekte der Innovation und wie kannst du das Potenzial von Innovation für dein Unternehmen maximal ausschöpfen?")</f>
        <v>Ohne eine Innovationskultur zu entwickeln fallen Unternehmen schnell zurück. Was sind die entscheidenden Aspekte der Innovation und wie kannst du das Potenzial von Innovation für dein Unternehmen maximal ausschöpfen?</v>
      </c>
      <c r="D591" s="17" t="str">
        <f>IFERROR(__xludf.DUMMYFUNCTION("""COMPUTED_VALUE"""),"Without a culture of innovation, companies quickly fall behind. Explore the crucial aspects of innovation, and how to use the four quadrants of the Competing Values Framework to maximize innovation in your company.")</f>
        <v>Without a culture of innovation, companies quickly fall behind. Explore the crucial aspects of innovation, and how to use the four quadrants of the Competing Values Framework to maximize innovation in your company.</v>
      </c>
      <c r="E591" s="18" t="str">
        <f>IFERROR(__xludf.DUMMYFUNCTION("""COMPUTED_VALUE"""),"Creativity and Innovation")</f>
        <v>Creativity and Innovation</v>
      </c>
      <c r="F591" s="19" t="str">
        <f>IFERROR(__xludf.DUMMYFUNCTION("""COMPUTED_VALUE"""),"BigThink - Jeff DeGraff")</f>
        <v>BigThink - Jeff DeGraff</v>
      </c>
      <c r="G591" s="20">
        <f>IFERROR(__xludf.DUMMYFUNCTION("""COMPUTED_VALUE"""),58.0)</f>
        <v>58</v>
      </c>
      <c r="H591" s="20">
        <f>IFERROR(__xludf.DUMMYFUNCTION("""COMPUTED_VALUE"""),21.0)</f>
        <v>21</v>
      </c>
      <c r="I591" s="21" t="str">
        <f>IFERROR(__xludf.DUMMYFUNCTION("""COMPUTED_VALUE"""),"English, German")</f>
        <v>English, German</v>
      </c>
      <c r="J591" s="21" t="str">
        <f>IFERROR(__xludf.DUMMYFUNCTION("""COMPUTED_VALUE"""),"English")</f>
        <v>English</v>
      </c>
      <c r="K591" s="22">
        <f>IFERROR(__xludf.DUMMYFUNCTION("""COMPUTED_VALUE"""),44260.0)</f>
        <v>44260</v>
      </c>
      <c r="L591" s="23" t="str">
        <f>IFERROR(__xludf.DUMMYFUNCTION("""COMPUTED_VALUE"""),"https://masterplan.com/courses/innovation-und-wandel")</f>
        <v>https://masterplan.com/courses/innovation-und-wandel</v>
      </c>
    </row>
    <row r="592">
      <c r="A592" s="6" t="str">
        <f>IFERROR(__xludf.DUMMYFUNCTION("""COMPUTED_VALUE"""),"Produktivität durch Wohlbefinden: Techniken zum Erfolg")</f>
        <v>Produktivität durch Wohlbefinden: Techniken zum Erfolg</v>
      </c>
      <c r="B592" s="7" t="str">
        <f>IFERROR(__xludf.DUMMYFUNCTION("""COMPUTED_VALUE"""),"Feel Good, Perform Better: Improving Productivity through Well-Being")</f>
        <v>Feel Good, Perform Better: Improving Productivity through Well-Being</v>
      </c>
      <c r="C592" s="8" t="str">
        <f>IFERROR(__xludf.DUMMYFUNCTION("""COMPUTED_VALUE"""),"Trotz ihres immensen Erfolgs in der Geschäftswelt, hatte Arianna das Gefühl, dass etwas in unserer Definition von Erfolg fehlt. Dies führte sie zu einer lebensverändernden Frage: Wie würden sich du und dein Unternehmen ändern, wenn das Wohlbefinden eine P"&amp;"riorität wäre?")</f>
        <v>Trotz ihres immensen Erfolgs in der Geschäftswelt, hatte Arianna das Gefühl, dass etwas in unserer Definition von Erfolg fehlt. Dies führte sie zu einer lebensverändernden Frage: Wie würden sich du und dein Unternehmen ändern, wenn das Wohlbefinden eine Priorität wäre?</v>
      </c>
      <c r="D592" s="8" t="str">
        <f>IFERROR(__xludf.DUMMYFUNCTION("""COMPUTED_VALUE"""),"Despite her immense success in the business world, Arianna Huffington felt something was missing in our definition of success. This led her to a life-changing question: how would you and your business be different if well-being was a priority?")</f>
        <v>Despite her immense success in the business world, Arianna Huffington felt something was missing in our definition of success. This led her to a life-changing question: how would you and your business be different if well-being was a priority?</v>
      </c>
      <c r="E592" s="24" t="str">
        <f>IFERROR(__xludf.DUMMYFUNCTION("""COMPUTED_VALUE"""),"Emotional Intelligence")</f>
        <v>Emotional Intelligence</v>
      </c>
      <c r="F592" s="10" t="str">
        <f>IFERROR(__xludf.DUMMYFUNCTION("""COMPUTED_VALUE"""),"BigThink - Arianna Huffington")</f>
        <v>BigThink - Arianna Huffington</v>
      </c>
      <c r="G592" s="11">
        <f>IFERROR(__xludf.DUMMYFUNCTION("""COMPUTED_VALUE"""),42.0)</f>
        <v>42</v>
      </c>
      <c r="H592" s="11">
        <f>IFERROR(__xludf.DUMMYFUNCTION("""COMPUTED_VALUE"""),24.0)</f>
        <v>24</v>
      </c>
      <c r="I592" s="12" t="str">
        <f>IFERROR(__xludf.DUMMYFUNCTION("""COMPUTED_VALUE"""),"English, German")</f>
        <v>English, German</v>
      </c>
      <c r="J592" s="12" t="str">
        <f>IFERROR(__xludf.DUMMYFUNCTION("""COMPUTED_VALUE"""),"English")</f>
        <v>English</v>
      </c>
      <c r="K592" s="13">
        <f>IFERROR(__xludf.DUMMYFUNCTION("""COMPUTED_VALUE"""),44256.0)</f>
        <v>44256</v>
      </c>
      <c r="L592" s="14" t="str">
        <f>IFERROR(__xludf.DUMMYFUNCTION("""COMPUTED_VALUE"""),"https://masterplan.com/courses/feel-good")</f>
        <v>https://masterplan.com/courses/feel-good</v>
      </c>
    </row>
    <row r="593">
      <c r="A593" s="15" t="str">
        <f>IFERROR(__xludf.DUMMYFUNCTION("""COMPUTED_VALUE"""),"Verhandeln wie ein FBI-Agent")</f>
        <v>Verhandeln wie ein FBI-Agent</v>
      </c>
      <c r="B593" s="16" t="str">
        <f>IFERROR(__xludf.DUMMYFUNCTION("""COMPUTED_VALUE"""),"Negotiate like a Pro: How the FBI Makes Deals")</f>
        <v>Negotiate like a Pro: How the FBI Makes Deals</v>
      </c>
      <c r="C593" s="17" t="str">
        <f>IFERROR(__xludf.DUMMYFUNCTION("""COMPUTED_VALUE"""),"Wie kannst du in einer Verhandlung die Kontrolle behalten? Der ehemalige FBI-Verhandlungsführer Chris Voss zeigt, wie der Aufbau von Empathie entscheidend für erfolgreiche Verhandlungen ist, um das bestmögliche Ergebnis zu erzielen.")</f>
        <v>Wie kannst du in einer Verhandlung die Kontrolle behalten? Der ehemalige FBI-Verhandlungsführer Chris Voss zeigt, wie der Aufbau von Empathie entscheidend für erfolgreiche Verhandlungen ist, um das bestmögliche Ergebnis zu erzielen.</v>
      </c>
      <c r="D593" s="17" t="str">
        <f>IFERROR(__xludf.DUMMYFUNCTION("""COMPUTED_VALUE"""),"How can you stay in control during a negotiation? Former FBI negotiator Chris Voss shows how building empathy is crucial to successful negotiations. His simple strategies help you make sense of yourself and your counterpart in order to get the best outcom"&amp;"e possible.")</f>
        <v>How can you stay in control during a negotiation? Former FBI negotiator Chris Voss shows how building empathy is crucial to successful negotiations. His simple strategies help you make sense of yourself and your counterpart in order to get the best outcome possible.</v>
      </c>
      <c r="E593" s="9" t="str">
        <f>IFERROR(__xludf.DUMMYFUNCTION("""COMPUTED_VALUE"""),"Global Citizenship")</f>
        <v>Global Citizenship</v>
      </c>
      <c r="F593" s="19" t="str">
        <f>IFERROR(__xludf.DUMMYFUNCTION("""COMPUTED_VALUE"""),"BigThink - Chris Voss")</f>
        <v>BigThink - Chris Voss</v>
      </c>
      <c r="G593" s="20">
        <f>IFERROR(__xludf.DUMMYFUNCTION("""COMPUTED_VALUE"""),34.0)</f>
        <v>34</v>
      </c>
      <c r="H593" s="20">
        <f>IFERROR(__xludf.DUMMYFUNCTION("""COMPUTED_VALUE"""),18.0)</f>
        <v>18</v>
      </c>
      <c r="I593" s="21" t="str">
        <f>IFERROR(__xludf.DUMMYFUNCTION("""COMPUTED_VALUE"""),"English, German")</f>
        <v>English, German</v>
      </c>
      <c r="J593" s="21" t="str">
        <f>IFERROR(__xludf.DUMMYFUNCTION("""COMPUTED_VALUE"""),"English")</f>
        <v>English</v>
      </c>
      <c r="K593" s="22">
        <f>IFERROR(__xludf.DUMMYFUNCTION("""COMPUTED_VALUE"""),44242.0)</f>
        <v>44242</v>
      </c>
      <c r="L593" s="23" t="str">
        <f>IFERROR(__xludf.DUMMYFUNCTION("""COMPUTED_VALUE"""),"https://masterplan.com/courses/fbi")</f>
        <v>https://masterplan.com/courses/fbi</v>
      </c>
    </row>
    <row r="594">
      <c r="A594" s="6" t="str">
        <f>IFERROR(__xludf.DUMMYFUNCTION("""COMPUTED_VALUE"""),"Aufbau von Motivation und Vertrauen in virtuellen Teams")</f>
        <v>Aufbau von Motivation und Vertrauen in virtuellen Teams</v>
      </c>
      <c r="B594" s="7" t="str">
        <f>IFERROR(__xludf.DUMMYFUNCTION("""COMPUTED_VALUE"""),"Building Motivation and Trust in Virtual Teams")</f>
        <v>Building Motivation and Trust in Virtual Teams</v>
      </c>
      <c r="C594" s="8" t="str">
        <f>IFERROR(__xludf.DUMMYFUNCTION("""COMPUTED_VALUE"""),"Teams arbeiten zunehmend virtuell zusammen. Was sind mögliche Konsequenzen für dein Team? In diesem Kurs lernst du wie du Vertrauen und Motivation im virtuellen Team aufbaust - von wichtigen Herausforderungen über soziale Netzwerke bis hin zum Geben von F"&amp;"eedback.")</f>
        <v>Teams arbeiten zunehmend virtuell zusammen. Was sind mögliche Konsequenzen für dein Team? In diesem Kurs lernst du wie du Vertrauen und Motivation im virtuellen Team aufbaust - von wichtigen Herausforderungen über soziale Netzwerke bis hin zum Geben von Feedback.</v>
      </c>
      <c r="D594" s="8" t="str">
        <f>IFERROR(__xludf.DUMMYFUNCTION("""COMPUTED_VALUE"""),"More teams are working together virtually. But does this mean that their trust and motivation must decline? In this course you will learn how to build and maintain trust and motivation in your virtual team - from key challenges, social networking, to givi"&amp;"ng feedback.")</f>
        <v>More teams are working together virtually. But does this mean that their trust and motivation must decline? In this course you will learn how to build and maintain trust and motivation in your virtual team - from key challenges, social networking, to giving feedback.</v>
      </c>
      <c r="E594" s="28" t="str">
        <f>IFERROR(__xludf.DUMMYFUNCTION("""COMPUTED_VALUE"""),"Communication")</f>
        <v>Communication</v>
      </c>
      <c r="F594" s="10" t="str">
        <f>IFERROR(__xludf.DUMMYFUNCTION("""COMPUTED_VALUE"""),"Pink University")</f>
        <v>Pink University</v>
      </c>
      <c r="G594" s="11">
        <f>IFERROR(__xludf.DUMMYFUNCTION("""COMPUTED_VALUE"""),35.0)</f>
        <v>35</v>
      </c>
      <c r="H594" s="11">
        <f>IFERROR(__xludf.DUMMYFUNCTION("""COMPUTED_VALUE"""),19.0)</f>
        <v>19</v>
      </c>
      <c r="I594" s="12" t="str">
        <f>IFERROR(__xludf.DUMMYFUNCTION("""COMPUTED_VALUE"""),"English, German")</f>
        <v>English, German</v>
      </c>
      <c r="J594" s="12" t="str">
        <f>IFERROR(__xludf.DUMMYFUNCTION("""COMPUTED_VALUE"""),"English")</f>
        <v>English</v>
      </c>
      <c r="K594" s="13">
        <f>IFERROR(__xludf.DUMMYFUNCTION("""COMPUTED_VALUE"""),44238.0)</f>
        <v>44238</v>
      </c>
      <c r="L594" s="14" t="str">
        <f>IFERROR(__xludf.DUMMYFUNCTION("""COMPUTED_VALUE"""),"https://masterplan.com/courses/trust-and-motivation")</f>
        <v>https://masterplan.com/courses/trust-and-motivation</v>
      </c>
    </row>
    <row r="595">
      <c r="A595" s="15" t="str">
        <f>IFERROR(__xludf.DUMMYFUNCTION("""COMPUTED_VALUE"""),"Office 365: PowerPoint Advanced II")</f>
        <v>Office 365: PowerPoint Advanced II</v>
      </c>
      <c r="B595" s="16" t="str">
        <f>IFERROR(__xludf.DUMMYFUNCTION("""COMPUTED_VALUE"""),"Office 365: PowerPoint Advanced II")</f>
        <v>Office 365: PowerPoint Advanced II</v>
      </c>
      <c r="C595" s="17" t="str">
        <f>IFERROR(__xludf.DUMMYFUNCTION("""COMPUTED_VALUE"""),"Du möchtest deine PowerPoint-Präsentation multimedial gestalten? Videos, Audio-Dateien sowie Animationen einfügen und die in deiner Präsentation enthaltenen Dateien mit wenigen Klicks aktuell halten? Dann sieh dir unseren Kurs zu Microsoft PowerPoint Adva"&amp;"nced 2 an!")</f>
        <v>Du möchtest deine PowerPoint-Präsentation multimedial gestalten? Videos, Audio-Dateien sowie Animationen einfügen und die in deiner Präsentation enthaltenen Dateien mit wenigen Klicks aktuell halten? Dann sieh dir unseren Kurs zu Microsoft PowerPoint Advanced 2 an!</v>
      </c>
      <c r="D595" s="17" t="str">
        <f>IFERROR(__xludf.DUMMYFUNCTION("""COMPUTED_VALUE"""),"Would you like to make your PowerPoint presentation more interactive? Would you like to insert videos, audio files, and animations and also keep the files in your presentation up-to-date with just a few clicks? Then check out our PowerPoint Advanced 2 cou"&amp;"rse!")</f>
        <v>Would you like to make your PowerPoint presentation more interactive? Would you like to insert videos, audio files, and animations and also keep the files in your presentation up-to-date with just a few clicks? Then check out our PowerPoint Advanced 2 course!</v>
      </c>
      <c r="E595" s="27" t="str">
        <f>IFERROR(__xludf.DUMMYFUNCTION("""COMPUTED_VALUE"""),"Tools &amp; Tutorials")</f>
        <v>Tools &amp; Tutorials</v>
      </c>
      <c r="F595" s="19" t="str">
        <f>IFERROR(__xludf.DUMMYFUNCTION("""COMPUTED_VALUE"""),"Zeit im Griff - Holger Wöltje")</f>
        <v>Zeit im Griff - Holger Wöltje</v>
      </c>
      <c r="G595" s="20">
        <f>IFERROR(__xludf.DUMMYFUNCTION("""COMPUTED_VALUE"""),48.0)</f>
        <v>48</v>
      </c>
      <c r="H595" s="20">
        <f>IFERROR(__xludf.DUMMYFUNCTION("""COMPUTED_VALUE"""),21.0)</f>
        <v>21</v>
      </c>
      <c r="I595" s="21" t="str">
        <f>IFERROR(__xludf.DUMMYFUNCTION("""COMPUTED_VALUE"""),"English, German")</f>
        <v>English, German</v>
      </c>
      <c r="J595" s="21" t="str">
        <f>IFERROR(__xludf.DUMMYFUNCTION("""COMPUTED_VALUE"""),"English, German")</f>
        <v>English, German</v>
      </c>
      <c r="K595" s="22">
        <f>IFERROR(__xludf.DUMMYFUNCTION("""COMPUTED_VALUE"""),44228.0)</f>
        <v>44228</v>
      </c>
      <c r="L595" s="23" t="str">
        <f>IFERROR(__xludf.DUMMYFUNCTION("""COMPUTED_VALUE"""),"https://masterplan.com/courses/office-365-powerpoint-advanced2")</f>
        <v>https://masterplan.com/courses/office-365-powerpoint-advanced2</v>
      </c>
    </row>
    <row r="596">
      <c r="A596" s="6" t="str">
        <f>IFERROR(__xludf.DUMMYFUNCTION("""COMPUTED_VALUE"""),"Online Meetings vorbereiten &amp; moderieren")</f>
        <v>Online Meetings vorbereiten &amp; moderieren</v>
      </c>
      <c r="B596" s="7" t="str">
        <f>IFERROR(__xludf.DUMMYFUNCTION("""COMPUTED_VALUE"""),"Preparing &amp; Moderating Online Meetings ")</f>
        <v>Preparing &amp; Moderating Online Meetings </v>
      </c>
      <c r="C596" s="8" t="str">
        <f>IFERROR(__xludf.DUMMYFUNCTION("""COMPUTED_VALUE"""),"Wer kennt's nicht?: Online-Meetings, in denen alles schief läuft! Schlechte Akustik, es wird lange präsentiert, die Teilnehmer des Meetings driften mental ab... Schaue dir jetzt diesen Kurs zu Online-Meetings an, um zum Profi-Moderator von virtuellen Meet"&amp;"ings zu werden!")</f>
        <v>Wer kennt's nicht?: Online-Meetings, in denen alles schief läuft! Schlechte Akustik, es wird lange präsentiert, die Teilnehmer des Meetings driften mental ab... Schaue dir jetzt diesen Kurs zu Online-Meetings an, um zum Profi-Moderator von virtuellen Meetings zu werden!</v>
      </c>
      <c r="D596" s="8" t="str">
        <f>IFERROR(__xludf.DUMMYFUNCTION("""COMPUTED_VALUE"""),"Who hasn't experienced online meetings in which everything went awry? Poor acoustics, long presentations, the meetings' participants drifting off mentally... Watch this online meeting course now and become a professional virtual meeting host!")</f>
        <v>Who hasn't experienced online meetings in which everything went awry? Poor acoustics, long presentations, the meetings' participants drifting off mentally... Watch this online meeting course now and become a professional virtual meeting host!</v>
      </c>
      <c r="E596" s="28" t="str">
        <f>IFERROR(__xludf.DUMMYFUNCTION("""COMPUTED_VALUE"""),"Communication")</f>
        <v>Communication</v>
      </c>
      <c r="F596" s="10" t="str">
        <f>IFERROR(__xludf.DUMMYFUNCTION("""COMPUTED_VALUE"""),"Pink University")</f>
        <v>Pink University</v>
      </c>
      <c r="G596" s="11">
        <f>IFERROR(__xludf.DUMMYFUNCTION("""COMPUTED_VALUE"""),45.0)</f>
        <v>45</v>
      </c>
      <c r="H596" s="11">
        <f>IFERROR(__xludf.DUMMYFUNCTION("""COMPUTED_VALUE"""),21.0)</f>
        <v>21</v>
      </c>
      <c r="I596" s="12" t="str">
        <f>IFERROR(__xludf.DUMMYFUNCTION("""COMPUTED_VALUE"""),"English, German")</f>
        <v>English, German</v>
      </c>
      <c r="J596" s="12" t="str">
        <f>IFERROR(__xludf.DUMMYFUNCTION("""COMPUTED_VALUE"""),"German")</f>
        <v>German</v>
      </c>
      <c r="K596" s="13">
        <f>IFERROR(__xludf.DUMMYFUNCTION("""COMPUTED_VALUE"""),44204.0)</f>
        <v>44204</v>
      </c>
      <c r="L596" s="14" t="str">
        <f>IFERROR(__xludf.DUMMYFUNCTION("""COMPUTED_VALUE"""),"https://masterplan.com/courses/online-meetings")</f>
        <v>https://masterplan.com/courses/online-meetings</v>
      </c>
    </row>
    <row r="597">
      <c r="A597" s="15" t="str">
        <f>IFERROR(__xludf.DUMMYFUNCTION("""COMPUTED_VALUE"""),"Office 365: PowerPoint Advanced I")</f>
        <v>Office 365: PowerPoint Advanced I</v>
      </c>
      <c r="B597" s="16" t="str">
        <f>IFERROR(__xludf.DUMMYFUNCTION("""COMPUTED_VALUE"""),"Office 365: PowerPoint Advanced I")</f>
        <v>Office 365: PowerPoint Advanced I</v>
      </c>
      <c r="C597" s="17" t="str">
        <f>IFERROR(__xludf.DUMMYFUNCTION("""COMPUTED_VALUE"""),"Mit PowerPoint bietet dir Microsoft ein Tool an, mit dem du deine Präsentation schnell und ansehnlich gestalten kannst. Doch was für Funktionen stehen für dich bereit? Welche Tipps gibt es für eine gelungene Präsentation? Das verrät dir Holger in diesem K"&amp;"urs!")</f>
        <v>Mit PowerPoint bietet dir Microsoft ein Tool an, mit dem du deine Präsentation schnell und ansehnlich gestalten kannst. Doch was für Funktionen stehen für dich bereit? Welche Tipps gibt es für eine gelungene Präsentation? Das verrät dir Holger in diesem Kurs!</v>
      </c>
      <c r="D597" s="17" t="str">
        <f>IFERROR(__xludf.DUMMYFUNCTION("""COMPUTED_VALUE"""),"With PowerPoint, Microsoft offers you a tool that helps you design your presentation quickly and attractively. But what functions are available to you? Are there any tips for a successful presentation? Holger will reveal this to you in his course!")</f>
        <v>With PowerPoint, Microsoft offers you a tool that helps you design your presentation quickly and attractively. But what functions are available to you? Are there any tips for a successful presentation? Holger will reveal this to you in his course!</v>
      </c>
      <c r="E597" s="27" t="str">
        <f>IFERROR(__xludf.DUMMYFUNCTION("""COMPUTED_VALUE"""),"Tools &amp; Tutorials")</f>
        <v>Tools &amp; Tutorials</v>
      </c>
      <c r="F597" s="19" t="str">
        <f>IFERROR(__xludf.DUMMYFUNCTION("""COMPUTED_VALUE"""),"Zeit im Griff - Holger Wöltje")</f>
        <v>Zeit im Griff - Holger Wöltje</v>
      </c>
      <c r="G597" s="20">
        <f>IFERROR(__xludf.DUMMYFUNCTION("""COMPUTED_VALUE"""),68.0)</f>
        <v>68</v>
      </c>
      <c r="H597" s="20">
        <f>IFERROR(__xludf.DUMMYFUNCTION("""COMPUTED_VALUE"""),27.0)</f>
        <v>27</v>
      </c>
      <c r="I597" s="21" t="str">
        <f>IFERROR(__xludf.DUMMYFUNCTION("""COMPUTED_VALUE"""),"English, German")</f>
        <v>English, German</v>
      </c>
      <c r="J597" s="21" t="str">
        <f>IFERROR(__xludf.DUMMYFUNCTION("""COMPUTED_VALUE"""),"English, German")</f>
        <v>English, German</v>
      </c>
      <c r="K597" s="22">
        <f>IFERROR(__xludf.DUMMYFUNCTION("""COMPUTED_VALUE"""),44204.0)</f>
        <v>44204</v>
      </c>
      <c r="L597" s="23" t="str">
        <f>IFERROR(__xludf.DUMMYFUNCTION("""COMPUTED_VALUE"""),"https://masterplan.com/courses/office-365-powerpoint-advanced1")</f>
        <v>https://masterplan.com/courses/office-365-powerpoint-advanced1</v>
      </c>
    </row>
    <row r="598">
      <c r="A598" s="6" t="str">
        <f>IFERROR(__xludf.DUMMYFUNCTION("""COMPUTED_VALUE"""),"DSGVO am Arbeitsplatz")</f>
        <v>DSGVO am Arbeitsplatz</v>
      </c>
      <c r="B598" s="7" t="str">
        <f>IFERROR(__xludf.DUMMYFUNCTION("""COMPUTED_VALUE"""),"GDPR in the Workplace")</f>
        <v>GDPR in the Workplace</v>
      </c>
      <c r="C598" s="8" t="str">
        <f>IFERROR(__xludf.DUMMYFUNCTION("""COMPUTED_VALUE"""),"Jeden Tag kommst du mit Daten in Kontakt - du arbeitest mit ihnen und hinterlässt selbst eine Menge Daten im Internet. Daher möchten Daten auch geschützt werden. Doch was ist eigentlich Datenschutz? Welche Rechte und Pflichten hast du? Dies erfährst du in"&amp;" diesem Kurs!")</f>
        <v>Jeden Tag kommst du mit Daten in Kontakt - du arbeitest mit ihnen und hinterlässt selbst eine Menge Daten im Internet. Daher möchten Daten auch geschützt werden. Doch was ist eigentlich Datenschutz? Welche Rechte und Pflichten hast du? Dies erfährst du in diesem Kurs!</v>
      </c>
      <c r="D598" s="8" t="str">
        <f>IFERROR(__xludf.DUMMYFUNCTION("""COMPUTED_VALUE"""),"Every day you come into contact with data - you work with it and leave a lot of data on the Internet yourself. So, data also wants to be protected. But what is data protection? What rights and obligations do you have? You'll find out in this course!")</f>
        <v>Every day you come into contact with data - you work with it and leave a lot of data on the Internet yourself. So, data also wants to be protected. But what is data protection? What rights and obligations do you have? You'll find out in this course!</v>
      </c>
      <c r="E598" s="25" t="str">
        <f>IFERROR(__xludf.DUMMYFUNCTION("""COMPUTED_VALUE"""),"Digital Literacy")</f>
        <v>Digital Literacy</v>
      </c>
      <c r="F598" s="10" t="str">
        <f>IFERROR(__xludf.DUMMYFUNCTION("""COMPUTED_VALUE"""),"secjur")</f>
        <v>secjur</v>
      </c>
      <c r="G598" s="11">
        <f>IFERROR(__xludf.DUMMYFUNCTION("""COMPUTED_VALUE"""),30.0)</f>
        <v>30</v>
      </c>
      <c r="H598" s="11">
        <f>IFERROR(__xludf.DUMMYFUNCTION("""COMPUTED_VALUE"""),18.0)</f>
        <v>18</v>
      </c>
      <c r="I598" s="12" t="str">
        <f>IFERROR(__xludf.DUMMYFUNCTION("""COMPUTED_VALUE"""),"English, German")</f>
        <v>English, German</v>
      </c>
      <c r="J598" s="12" t="str">
        <f>IFERROR(__xludf.DUMMYFUNCTION("""COMPUTED_VALUE"""),"English, German")</f>
        <v>English, German</v>
      </c>
      <c r="K598" s="13">
        <f>IFERROR(__xludf.DUMMYFUNCTION("""COMPUTED_VALUE"""),44179.0)</f>
        <v>44179</v>
      </c>
      <c r="L598" s="14" t="str">
        <f>IFERROR(__xludf.DUMMYFUNCTION("""COMPUTED_VALUE"""),"https://masterplan.com/courses/dsgvo-arbeitsplatz")</f>
        <v>https://masterplan.com/courses/dsgvo-arbeitsplatz</v>
      </c>
    </row>
    <row r="599">
      <c r="A599" s="15" t="str">
        <f>IFERROR(__xludf.DUMMYFUNCTION("""COMPUTED_VALUE"""),"Office 365: PowerPoint Basics")</f>
        <v>Office 365: PowerPoint Basics</v>
      </c>
      <c r="B599" s="16" t="str">
        <f>IFERROR(__xludf.DUMMYFUNCTION("""COMPUTED_VALUE"""),"Office 365: PowerPoint Basics")</f>
        <v>Office 365: PowerPoint Basics</v>
      </c>
      <c r="C599" s="17" t="str">
        <f>IFERROR(__xludf.DUMMYFUNCTION("""COMPUTED_VALUE"""),"Microsoft PowerPoint ist die Software, um Präsentationen zu gestalten. Schaue dir das Basic-Topic zu PowerPoint von Holger Wöltje an, um zu erfahren, wo du am besten startest oder auch, um Funktionen kennenzulernen, von denen du bisher noch nichts wusstes"&amp;"t.")</f>
        <v>Microsoft PowerPoint ist die Software, um Präsentationen zu gestalten. Schaue dir das Basic-Topic zu PowerPoint von Holger Wöltje an, um zu erfahren, wo du am besten startest oder auch, um Funktionen kennenzulernen, von denen du bisher noch nichts wusstest.</v>
      </c>
      <c r="D599" s="17" t="str">
        <f>IFERROR(__xludf.DUMMYFUNCTION("""COMPUTED_VALUE"""),"With all of the features of PowerPoint, you can create presentations that perfectly fit your needs. Take a look at the first steps and basic features of PowerPoint here with Holger Wöltje so you can make the most of your presentations!")</f>
        <v>With all of the features of PowerPoint, you can create presentations that perfectly fit your needs. Take a look at the first steps and basic features of PowerPoint here with Holger Wöltje so you can make the most of your presentations!</v>
      </c>
      <c r="E599" s="27" t="str">
        <f>IFERROR(__xludf.DUMMYFUNCTION("""COMPUTED_VALUE"""),"Tools &amp; Tutorials")</f>
        <v>Tools &amp; Tutorials</v>
      </c>
      <c r="F599" s="19" t="str">
        <f>IFERROR(__xludf.DUMMYFUNCTION("""COMPUTED_VALUE"""),"Zeit im Griff - Holger Wöltje")</f>
        <v>Zeit im Griff - Holger Wöltje</v>
      </c>
      <c r="G599" s="20">
        <f>IFERROR(__xludf.DUMMYFUNCTION("""COMPUTED_VALUE"""),79.0)</f>
        <v>79</v>
      </c>
      <c r="H599" s="20">
        <f>IFERROR(__xludf.DUMMYFUNCTION("""COMPUTED_VALUE"""),30.0)</f>
        <v>30</v>
      </c>
      <c r="I599" s="21" t="str">
        <f>IFERROR(__xludf.DUMMYFUNCTION("""COMPUTED_VALUE"""),"English, German")</f>
        <v>English, German</v>
      </c>
      <c r="J599" s="21" t="str">
        <f>IFERROR(__xludf.DUMMYFUNCTION("""COMPUTED_VALUE"""),"English, German")</f>
        <v>English, German</v>
      </c>
      <c r="K599" s="22">
        <f>IFERROR(__xludf.DUMMYFUNCTION("""COMPUTED_VALUE"""),44179.0)</f>
        <v>44179</v>
      </c>
      <c r="L599" s="23" t="str">
        <f>IFERROR(__xludf.DUMMYFUNCTION("""COMPUTED_VALUE"""),"https://masterplan.com/courses/office-365-powerpoint-basics")</f>
        <v>https://masterplan.com/courses/office-365-powerpoint-basics</v>
      </c>
    </row>
    <row r="600">
      <c r="A600" s="6" t="str">
        <f>IFERROR(__xludf.DUMMYFUNCTION("""COMPUTED_VALUE"""),"Teams führen durch Situational Leadership")</f>
        <v>Teams führen durch Situational Leadership</v>
      </c>
      <c r="B600" s="7" t="str">
        <f>IFERROR(__xludf.DUMMYFUNCTION("""COMPUTED_VALUE"""),"Guiding Teams well: Situational Leadership")</f>
        <v>Guiding Teams well: Situational Leadership</v>
      </c>
      <c r="C600" s="8" t="str">
        <f>IFERROR(__xludf.DUMMYFUNCTION("""COMPUTED_VALUE"""),"Wie kannst du Motivation und Produktivität im Team am besten aufrechterhalten, und auf herausfordernde Situationen reagieren? Situational Leadership zeigt dir, wie du das Engagement deiner Mitarbeitenden erhöhst.")</f>
        <v>Wie kannst du Motivation und Produktivität im Team am besten aufrechterhalten, und auf herausfordernde Situationen reagieren? Situational Leadership zeigt dir, wie du das Engagement deiner Mitarbeitenden erhöhst.</v>
      </c>
      <c r="D600" s="8" t="str">
        <f>IFERROR(__xludf.DUMMYFUNCTION("""COMPUTED_VALUE"""),"When in a leadership position, integrating everyone in a project is challenging. How can I best maintain motivation and productivity within the team, and how to best react to challenging situations?
Situational Leadership shows you how to adapt to the con"&amp;"text for greater employee engagement.")</f>
        <v>When in a leadership position, integrating everyone in a project is challenging. How can I best maintain motivation and productivity within the team, and how to best react to challenging situations?
Situational Leadership shows you how to adapt to the context for greater employee engagement.</v>
      </c>
      <c r="E600" s="26" t="str">
        <f>IFERROR(__xludf.DUMMYFUNCTION("""COMPUTED_VALUE"""),"Collaboration and Leadership")</f>
        <v>Collaboration and Leadership</v>
      </c>
      <c r="F600" s="10" t="str">
        <f>IFERROR(__xludf.DUMMYFUNCTION("""COMPUTED_VALUE"""),"Pink University")</f>
        <v>Pink University</v>
      </c>
      <c r="G600" s="11">
        <f>IFERROR(__xludf.DUMMYFUNCTION("""COMPUTED_VALUE"""),25.0)</f>
        <v>25</v>
      </c>
      <c r="H600" s="11">
        <f>IFERROR(__xludf.DUMMYFUNCTION("""COMPUTED_VALUE"""),16.0)</f>
        <v>16</v>
      </c>
      <c r="I600" s="12" t="str">
        <f>IFERROR(__xludf.DUMMYFUNCTION("""COMPUTED_VALUE"""),"English, German")</f>
        <v>English, German</v>
      </c>
      <c r="J600" s="12" t="str">
        <f>IFERROR(__xludf.DUMMYFUNCTION("""COMPUTED_VALUE"""),"English")</f>
        <v>English</v>
      </c>
      <c r="K600" s="13">
        <f>IFERROR(__xludf.DUMMYFUNCTION("""COMPUTED_VALUE"""),44172.0)</f>
        <v>44172</v>
      </c>
      <c r="L600" s="14" t="str">
        <f>IFERROR(__xludf.DUMMYFUNCTION("""COMPUTED_VALUE"""),"https://masterplan.com/courses/situational-leadership")</f>
        <v>https://masterplan.com/courses/situational-leadership</v>
      </c>
    </row>
    <row r="601">
      <c r="A601" s="15" t="str">
        <f>IFERROR(__xludf.DUMMYFUNCTION("""COMPUTED_VALUE"""),"Arbeitsschutz: Verhalten bei Unfällen")</f>
        <v>Arbeitsschutz: Verhalten bei Unfällen</v>
      </c>
      <c r="B601" s="16" t="str">
        <f>IFERROR(__xludf.DUMMYFUNCTION("""COMPUTED_VALUE"""),"Occupational Safety: Procedure in the Event of an Accident")</f>
        <v>Occupational Safety: Procedure in the Event of an Accident</v>
      </c>
      <c r="C601" s="17" t="str">
        <f>IFERROR(__xludf.DUMMYFUNCTION("""COMPUTED_VALUE"""),"Sollte es doch einmal zu einem Unfall kommen, heißt es Ruhe zu bewahren und sich and die wichtigsten Punkte zu halten. Wir zeigen dir, wie du in einer solchen Situation agieren und nicht nur reagieren kannst.")</f>
        <v>Sollte es doch einmal zu einem Unfall kommen, heißt es Ruhe zu bewahren und sich and die wichtigsten Punkte zu halten. Wir zeigen dir, wie du in einer solchen Situation agieren und nicht nur reagieren kannst.</v>
      </c>
      <c r="D601" s="17" t="str">
        <f>IFERROR(__xludf.DUMMYFUNCTION("""COMPUTED_VALUE"""),"If an accident occurs, it is important to stay calm and adhere to the most important rules. We'll show you how to act rather than just react in such a situation.")</f>
        <v>If an accident occurs, it is important to stay calm and adhere to the most important rules. We'll show you how to act rather than just react in such a situation.</v>
      </c>
      <c r="E601" s="9" t="str">
        <f>IFERROR(__xludf.DUMMYFUNCTION("""COMPUTED_VALUE"""),"Mandatory Training")</f>
        <v>Mandatory Training</v>
      </c>
      <c r="F601" s="19" t="str">
        <f>IFERROR(__xludf.DUMMYFUNCTION("""COMPUTED_VALUE"""),"Masterplan com GmbH")</f>
        <v>Masterplan com GmbH</v>
      </c>
      <c r="G601" s="20">
        <f>IFERROR(__xludf.DUMMYFUNCTION("""COMPUTED_VALUE"""),14.0)</f>
        <v>14</v>
      </c>
      <c r="H601" s="20">
        <f>IFERROR(__xludf.DUMMYFUNCTION("""COMPUTED_VALUE"""),8.0)</f>
        <v>8</v>
      </c>
      <c r="I601" s="21" t="str">
        <f>IFERROR(__xludf.DUMMYFUNCTION("""COMPUTED_VALUE"""),"English, German")</f>
        <v>English, German</v>
      </c>
      <c r="J601" s="21" t="str">
        <f>IFERROR(__xludf.DUMMYFUNCTION("""COMPUTED_VALUE"""),"English, German")</f>
        <v>English, German</v>
      </c>
      <c r="K601" s="22">
        <f>IFERROR(__xludf.DUMMYFUNCTION("""COMPUTED_VALUE"""),44159.0)</f>
        <v>44159</v>
      </c>
      <c r="L601" s="23" t="str">
        <f>IFERROR(__xludf.DUMMYFUNCTION("""COMPUTED_VALUE"""),"https://masterplan.com/courses/arbeitsschutz-verhalten-bei-unfaellen")</f>
        <v>https://masterplan.com/courses/arbeitsschutz-verhalten-bei-unfaellen</v>
      </c>
    </row>
    <row r="602">
      <c r="A602" s="6" t="str">
        <f>IFERROR(__xludf.DUMMYFUNCTION("""COMPUTED_VALUE"""),"Arbeitsschutz: Richtig handeln im Not- &amp; Brandfall")</f>
        <v>Arbeitsschutz: Richtig handeln im Not- &amp; Brandfall</v>
      </c>
      <c r="B602" s="7" t="str">
        <f>IFERROR(__xludf.DUMMYFUNCTION("""COMPUTED_VALUE"""),"Occupational Safety: Acting Correctly in an Emergency &amp; Fire")</f>
        <v>Occupational Safety: Acting Correctly in an Emergency &amp; Fire</v>
      </c>
      <c r="C602" s="8" t="str">
        <f>IFERROR(__xludf.DUMMYFUNCTION("""COMPUTED_VALUE"""),"In diesem Teil unseres Arbeitsschutzkurses lernst du die wichtigsten Ursachen für Brände kennen und auch, wie du diese verhindern kannst. Wenn doch ein Feuer ausbrechen sollte: Wie verhältst du dich richtig und was solltest du auf jeden Fall vermeiden?")</f>
        <v>In diesem Teil unseres Arbeitsschutzkurses lernst du die wichtigsten Ursachen für Brände kennen und auch, wie du diese verhindern kannst. Wenn doch ein Feuer ausbrechen sollte: Wie verhältst du dich richtig und was solltest du auf jeden Fall vermeiden?</v>
      </c>
      <c r="D602" s="8" t="str">
        <f>IFERROR(__xludf.DUMMYFUNCTION("""COMPUTED_VALUE"""),"In this part of our occupational safety course, you will learn about the main causes of fires and also how to prevent them. If a fire does break out: How do you act correctly and what should you avoid at all costs?")</f>
        <v>In this part of our occupational safety course, you will learn about the main causes of fires and also how to prevent them. If a fire does break out: How do you act correctly and what should you avoid at all costs?</v>
      </c>
      <c r="E602" s="9" t="str">
        <f>IFERROR(__xludf.DUMMYFUNCTION("""COMPUTED_VALUE"""),"Mandatory Training")</f>
        <v>Mandatory Training</v>
      </c>
      <c r="F602" s="10" t="str">
        <f>IFERROR(__xludf.DUMMYFUNCTION("""COMPUTED_VALUE"""),"Masterplan com GmbH")</f>
        <v>Masterplan com GmbH</v>
      </c>
      <c r="G602" s="11">
        <f>IFERROR(__xludf.DUMMYFUNCTION("""COMPUTED_VALUE"""),17.0)</f>
        <v>17</v>
      </c>
      <c r="H602" s="11">
        <f>IFERROR(__xludf.DUMMYFUNCTION("""COMPUTED_VALUE"""),12.0)</f>
        <v>12</v>
      </c>
      <c r="I602" s="12" t="str">
        <f>IFERROR(__xludf.DUMMYFUNCTION("""COMPUTED_VALUE"""),"English, German")</f>
        <v>English, German</v>
      </c>
      <c r="J602" s="12" t="str">
        <f>IFERROR(__xludf.DUMMYFUNCTION("""COMPUTED_VALUE"""),"English, German")</f>
        <v>English, German</v>
      </c>
      <c r="K602" s="13">
        <f>IFERROR(__xludf.DUMMYFUNCTION("""COMPUTED_VALUE"""),44158.0)</f>
        <v>44158</v>
      </c>
      <c r="L602" s="14" t="str">
        <f>IFERROR(__xludf.DUMMYFUNCTION("""COMPUTED_VALUE"""),"https://masterplan.com/courses/arbeitsschutz-not-brandfall")</f>
        <v>https://masterplan.com/courses/arbeitsschutz-not-brandfall</v>
      </c>
    </row>
    <row r="603">
      <c r="A603" s="15" t="str">
        <f>IFERROR(__xludf.DUMMYFUNCTION("""COMPUTED_VALUE"""),"Arbeitsschutz: Unfälle vermeiden")</f>
        <v>Arbeitsschutz: Unfälle vermeiden</v>
      </c>
      <c r="B603" s="16" t="str">
        <f>IFERROR(__xludf.DUMMYFUNCTION("""COMPUTED_VALUE"""),"Occupational Safety: Avoiding Accidents")</f>
        <v>Occupational Safety: Avoiding Accidents</v>
      </c>
      <c r="C603" s="17" t="str">
        <f>IFERROR(__xludf.DUMMYFUNCTION("""COMPUTED_VALUE"""),"Unfälle durch Stolpern, Ausrutschen oder durch Stürze kommen auch im Büro häufig vor. Erfahre in diesem Teil von unserem Arbeitsschutzkurs, welche Gefahrenquellen im Büro entstehen können und wie du dich und deine Kollegen vor Unfällen bewahren kannst.")</f>
        <v>Unfälle durch Stolpern, Ausrutschen oder durch Stürze kommen auch im Büro häufig vor. Erfahre in diesem Teil von unserem Arbeitsschutzkurs, welche Gefahrenquellen im Büro entstehen können und wie du dich und deine Kollegen vor Unfällen bewahren kannst.</v>
      </c>
      <c r="D603" s="17" t="str">
        <f>IFERROR(__xludf.DUMMYFUNCTION("""COMPUTED_VALUE"""),"Accidents resulting from tripping, slipping, or falling are common in the office. In this part of our occupational safety course, you will learn about potential sources of danger in the office, as well as how you can protect yourself and your colleagues f"&amp;"rom accidents.")</f>
        <v>Accidents resulting from tripping, slipping, or falling are common in the office. In this part of our occupational safety course, you will learn about potential sources of danger in the office, as well as how you can protect yourself and your colleagues from accidents.</v>
      </c>
      <c r="E603" s="9" t="str">
        <f>IFERROR(__xludf.DUMMYFUNCTION("""COMPUTED_VALUE"""),"Mandatory Training")</f>
        <v>Mandatory Training</v>
      </c>
      <c r="F603" s="19" t="str">
        <f>IFERROR(__xludf.DUMMYFUNCTION("""COMPUTED_VALUE"""),"Masterplan com GmbH")</f>
        <v>Masterplan com GmbH</v>
      </c>
      <c r="G603" s="20">
        <f>IFERROR(__xludf.DUMMYFUNCTION("""COMPUTED_VALUE"""),8.0)</f>
        <v>8</v>
      </c>
      <c r="H603" s="20">
        <f>IFERROR(__xludf.DUMMYFUNCTION("""COMPUTED_VALUE"""),6.0)</f>
        <v>6</v>
      </c>
      <c r="I603" s="21" t="str">
        <f>IFERROR(__xludf.DUMMYFUNCTION("""COMPUTED_VALUE"""),"English, German")</f>
        <v>English, German</v>
      </c>
      <c r="J603" s="21" t="str">
        <f>IFERROR(__xludf.DUMMYFUNCTION("""COMPUTED_VALUE"""),"English, German")</f>
        <v>English, German</v>
      </c>
      <c r="K603" s="22">
        <f>IFERROR(__xludf.DUMMYFUNCTION("""COMPUTED_VALUE"""),44158.0)</f>
        <v>44158</v>
      </c>
      <c r="L603" s="23" t="str">
        <f>IFERROR(__xludf.DUMMYFUNCTION("""COMPUTED_VALUE"""),"https://masterplan.com/courses/arbeitsschutz-unfaelle-vermeiden")</f>
        <v>https://masterplan.com/courses/arbeitsschutz-unfaelle-vermeiden</v>
      </c>
    </row>
    <row r="604">
      <c r="A604" s="6" t="str">
        <f>IFERROR(__xludf.DUMMYFUNCTION("""COMPUTED_VALUE"""),"Arbeitsschutz: Heben &amp; Tragen")</f>
        <v>Arbeitsschutz: Heben &amp; Tragen</v>
      </c>
      <c r="B604" s="7" t="str">
        <f>IFERROR(__xludf.DUMMYFUNCTION("""COMPUTED_VALUE"""),"Occupational Safety: Lifting and Carrying")</f>
        <v>Occupational Safety: Lifting and Carrying</v>
      </c>
      <c r="C604" s="8" t="str">
        <f>IFERROR(__xludf.DUMMYFUNCTION("""COMPUTED_VALUE"""),"Eine falsche Bewegung und schon durchzieht ein Schmerz den Rücken - das hat fast jeder schon einmal erlebt! Erfahre in diesem Teil unseres Arbeitsschutzkurses, worauf es beim Heben und Tragen von Lasten ankommt, um deinen Rücken zu schonen.")</f>
        <v>Eine falsche Bewegung und schon durchzieht ein Schmerz den Rücken - das hat fast jeder schon einmal erlebt! Erfahre in diesem Teil unseres Arbeitsschutzkurses, worauf es beim Heben und Tragen von Lasten ankommt, um deinen Rücken zu schonen.</v>
      </c>
      <c r="D604" s="8" t="str">
        <f>IFERROR(__xludf.DUMMYFUNCTION("""COMPUTED_VALUE"""),"One wrong move and a pain runs through your back - almost everyone has experienced this! In this part of our occupational safety course, you will learn what is important when lifting and carrying loads to protect your back.")</f>
        <v>One wrong move and a pain runs through your back - almost everyone has experienced this! In this part of our occupational safety course, you will learn what is important when lifting and carrying loads to protect your back.</v>
      </c>
      <c r="E604" s="9" t="str">
        <f>IFERROR(__xludf.DUMMYFUNCTION("""COMPUTED_VALUE"""),"Mandatory Training")</f>
        <v>Mandatory Training</v>
      </c>
      <c r="F604" s="10" t="str">
        <f>IFERROR(__xludf.DUMMYFUNCTION("""COMPUTED_VALUE"""),"Masterplan com GmbH")</f>
        <v>Masterplan com GmbH</v>
      </c>
      <c r="G604" s="11">
        <f>IFERROR(__xludf.DUMMYFUNCTION("""COMPUTED_VALUE"""),7.0)</f>
        <v>7</v>
      </c>
      <c r="H604" s="11">
        <f>IFERROR(__xludf.DUMMYFUNCTION("""COMPUTED_VALUE"""),5.0)</f>
        <v>5</v>
      </c>
      <c r="I604" s="12" t="str">
        <f>IFERROR(__xludf.DUMMYFUNCTION("""COMPUTED_VALUE"""),"English, German")</f>
        <v>English, German</v>
      </c>
      <c r="J604" s="12" t="str">
        <f>IFERROR(__xludf.DUMMYFUNCTION("""COMPUTED_VALUE"""),"English, German")</f>
        <v>English, German</v>
      </c>
      <c r="K604" s="13">
        <f>IFERROR(__xludf.DUMMYFUNCTION("""COMPUTED_VALUE"""),44158.0)</f>
        <v>44158</v>
      </c>
      <c r="L604" s="14" t="str">
        <f>IFERROR(__xludf.DUMMYFUNCTION("""COMPUTED_VALUE"""),"https://masterplan.com/courses/arbeitsschutz-heben-tragen")</f>
        <v>https://masterplan.com/courses/arbeitsschutz-heben-tragen</v>
      </c>
    </row>
    <row r="605">
      <c r="A605" s="15" t="str">
        <f>IFERROR(__xludf.DUMMYFUNCTION("""COMPUTED_VALUE"""),"Arbeitsschutz: Infektionskrankheiten verhindern")</f>
        <v>Arbeitsschutz: Infektionskrankheiten verhindern</v>
      </c>
      <c r="B605" s="16" t="str">
        <f>IFERROR(__xludf.DUMMYFUNCTION("""COMPUTED_VALUE"""),"Occupational Safety: Preventing Infectious Diseases")</f>
        <v>Occupational Safety: Preventing Infectious Diseases</v>
      </c>
      <c r="C605" s="17" t="str">
        <f>IFERROR(__xludf.DUMMYFUNCTION("""COMPUTED_VALUE"""),"Eventuell gehörst auch du zu den Leuten, die sich schon einmal krank zur Arbeit geschleppt haben? Warum das am Ende eher kontraproduktiv ist und wie du dazu beitragen kannst Infektionsketten zu unterbrechen, lernst du in diesem Teil unseres Arbeitsschutzk"&amp;"urses.")</f>
        <v>Eventuell gehörst auch du zu den Leuten, die sich schon einmal krank zur Arbeit geschleppt haben? Warum das am Ende eher kontraproduktiv ist und wie du dazu beitragen kannst Infektionsketten zu unterbrechen, lernst du in diesem Teil unseres Arbeitsschutzkurses.</v>
      </c>
      <c r="D605" s="17" t="str">
        <f>IFERROR(__xludf.DUMMYFUNCTION("""COMPUTED_VALUE"""),"Perhaps you're also one of those people who have dragged themselves to work while feeling ill? In this part of our occupational safety course, you will learn why this is ultimately rather counterproductive and how you can help break infection chains.")</f>
        <v>Perhaps you're also one of those people who have dragged themselves to work while feeling ill? In this part of our occupational safety course, you will learn why this is ultimately rather counterproductive and how you can help break infection chains.</v>
      </c>
      <c r="E605" s="9" t="str">
        <f>IFERROR(__xludf.DUMMYFUNCTION("""COMPUTED_VALUE"""),"Mandatory Training")</f>
        <v>Mandatory Training</v>
      </c>
      <c r="F605" s="19" t="str">
        <f>IFERROR(__xludf.DUMMYFUNCTION("""COMPUTED_VALUE"""),"Masterplan com GmbH")</f>
        <v>Masterplan com GmbH</v>
      </c>
      <c r="G605" s="20">
        <f>IFERROR(__xludf.DUMMYFUNCTION("""COMPUTED_VALUE"""),8.0)</f>
        <v>8</v>
      </c>
      <c r="H605" s="20">
        <f>IFERROR(__xludf.DUMMYFUNCTION("""COMPUTED_VALUE"""),6.0)</f>
        <v>6</v>
      </c>
      <c r="I605" s="21" t="str">
        <f>IFERROR(__xludf.DUMMYFUNCTION("""COMPUTED_VALUE"""),"English, German")</f>
        <v>English, German</v>
      </c>
      <c r="J605" s="21" t="str">
        <f>IFERROR(__xludf.DUMMYFUNCTION("""COMPUTED_VALUE"""),"English, German")</f>
        <v>English, German</v>
      </c>
      <c r="K605" s="22">
        <f>IFERROR(__xludf.DUMMYFUNCTION("""COMPUTED_VALUE"""),44158.0)</f>
        <v>44158</v>
      </c>
      <c r="L605" s="23" t="str">
        <f>IFERROR(__xludf.DUMMYFUNCTION("""COMPUTED_VALUE"""),"https://masterplan.com/courses/arbeitsschutz-infektionskrankheiten-verhindern")</f>
        <v>https://masterplan.com/courses/arbeitsschutz-infektionskrankheiten-verhindern</v>
      </c>
    </row>
    <row r="606">
      <c r="A606" s="6" t="str">
        <f>IFERROR(__xludf.DUMMYFUNCTION("""COMPUTED_VALUE"""),"Designe dein Training")</f>
        <v>Designe dein Training</v>
      </c>
      <c r="B606" s="7" t="str">
        <f>IFERROR(__xludf.DUMMYFUNCTION("""COMPUTED_VALUE"""),"Design Your Training")</f>
        <v>Design Your Training</v>
      </c>
      <c r="C606" s="8" t="str">
        <f>IFERROR(__xludf.DUMMYFUNCTION("""COMPUTED_VALUE"""),"Erstelle Schritt für Schritt dein eigenes erfolgreiches (Online-)Training mit den Expertentipps von Anna Langheiter. Durchlaufe diesen Kurs von den Lernzielen bis zum kreativen Designprozess und werde selbst zum Experten für Trainingsdesign!")</f>
        <v>Erstelle Schritt für Schritt dein eigenes erfolgreiches (Online-)Training mit den Expertentipps von Anna Langheiter. Durchlaufe diesen Kurs von den Lernzielen bis zum kreativen Designprozess und werde selbst zum Experten für Trainingsdesign!</v>
      </c>
      <c r="D606" s="8" t="str">
        <f>IFERROR(__xludf.DUMMYFUNCTION("""COMPUTED_VALUE"""),"Create your own successful (online) training step by step with expert advice from Anna Langheiter. Work your way through this course, from learning objectives to the creative process, and become a training design expert yourself!")</f>
        <v>Create your own successful (online) training step by step with expert advice from Anna Langheiter. Work your way through this course, from learning objectives to the creative process, and become a training design expert yourself!</v>
      </c>
      <c r="E606" s="18" t="str">
        <f>IFERROR(__xludf.DUMMYFUNCTION("""COMPUTED_VALUE"""),"Creativity and Innovation")</f>
        <v>Creativity and Innovation</v>
      </c>
      <c r="F606" s="10" t="str">
        <f>IFERROR(__xludf.DUMMYFUNCTION("""COMPUTED_VALUE"""),"Masterplan com GmbH - Anna Langheiter")</f>
        <v>Masterplan com GmbH - Anna Langheiter</v>
      </c>
      <c r="G606" s="11">
        <f>IFERROR(__xludf.DUMMYFUNCTION("""COMPUTED_VALUE"""),56.0)</f>
        <v>56</v>
      </c>
      <c r="H606" s="11">
        <f>IFERROR(__xludf.DUMMYFUNCTION("""COMPUTED_VALUE"""),35.0)</f>
        <v>35</v>
      </c>
      <c r="I606" s="12" t="str">
        <f>IFERROR(__xludf.DUMMYFUNCTION("""COMPUTED_VALUE"""),"English, German")</f>
        <v>English, German</v>
      </c>
      <c r="J606" s="12" t="str">
        <f>IFERROR(__xludf.DUMMYFUNCTION("""COMPUTED_VALUE"""),"German")</f>
        <v>German</v>
      </c>
      <c r="K606" s="13">
        <f>IFERROR(__xludf.DUMMYFUNCTION("""COMPUTED_VALUE"""),44155.0)</f>
        <v>44155</v>
      </c>
      <c r="L606" s="14" t="str">
        <f>IFERROR(__xludf.DUMMYFUNCTION("""COMPUTED_VALUE"""),"https://masterplan.com/courses/designe-dein-training")</f>
        <v>https://masterplan.com/courses/designe-dein-training</v>
      </c>
    </row>
    <row r="607">
      <c r="A607" s="15" t="str">
        <f>IFERROR(__xludf.DUMMYFUNCTION("""COMPUTED_VALUE"""),"Office 365: Word Advanced II")</f>
        <v>Office 365: Word Advanced II</v>
      </c>
      <c r="B607" s="16" t="str">
        <f>IFERROR(__xludf.DUMMYFUNCTION("""COMPUTED_VALUE"""),"Office 365: Word Advanced II")</f>
        <v>Office 365: Word Advanced II</v>
      </c>
      <c r="C607" s="17" t="str">
        <f>IFERROR(__xludf.DUMMYFUNCTION("""COMPUTED_VALUE"""),"In diesem Kurs zeigt dir Holger weitere wichtige Tools, mit denen du dein Textdokument einfach und schnell mit Microsoft Word bearbeiten kannst. Von der Bearbeitung von Bildern, über das Verwenden von Formatvorlagen, bis hin zu dem Erstellen von Fuß- und "&amp;"Endnoten.")</f>
        <v>In diesem Kurs zeigt dir Holger weitere wichtige Tools, mit denen du dein Textdokument einfach und schnell mit Microsoft Word bearbeiten kannst. Von der Bearbeitung von Bildern, über das Verwenden von Formatvorlagen, bis hin zu dem Erstellen von Fuß- und Endnoten.</v>
      </c>
      <c r="D607" s="17" t="str">
        <f>IFERROR(__xludf.DUMMYFUNCTION("""COMPUTED_VALUE"""),"In this course, Holger will show you other important tools that you can use to edit your text document easily and quickly with Microsoft Word – from editing images and using style sheets, to creating footnotes and endnotes.")</f>
        <v>In this course, Holger will show you other important tools that you can use to edit your text document easily and quickly with Microsoft Word – from editing images and using style sheets, to creating footnotes and endnotes.</v>
      </c>
      <c r="E607" s="27" t="str">
        <f>IFERROR(__xludf.DUMMYFUNCTION("""COMPUTED_VALUE"""),"Tools &amp; Tutorials")</f>
        <v>Tools &amp; Tutorials</v>
      </c>
      <c r="F607" s="19" t="str">
        <f>IFERROR(__xludf.DUMMYFUNCTION("""COMPUTED_VALUE"""),"Zeit im Griff - Holger Wöltje")</f>
        <v>Zeit im Griff - Holger Wöltje</v>
      </c>
      <c r="G607" s="20">
        <f>IFERROR(__xludf.DUMMYFUNCTION("""COMPUTED_VALUE"""),74.0)</f>
        <v>74</v>
      </c>
      <c r="H607" s="20">
        <f>IFERROR(__xludf.DUMMYFUNCTION("""COMPUTED_VALUE"""),27.0)</f>
        <v>27</v>
      </c>
      <c r="I607" s="21" t="str">
        <f>IFERROR(__xludf.DUMMYFUNCTION("""COMPUTED_VALUE"""),"English, German")</f>
        <v>English, German</v>
      </c>
      <c r="J607" s="21" t="str">
        <f>IFERROR(__xludf.DUMMYFUNCTION("""COMPUTED_VALUE"""),"English, German")</f>
        <v>English, German</v>
      </c>
      <c r="K607" s="22">
        <f>IFERROR(__xludf.DUMMYFUNCTION("""COMPUTED_VALUE"""),44148.0)</f>
        <v>44148</v>
      </c>
      <c r="L607" s="23" t="str">
        <f>IFERROR(__xludf.DUMMYFUNCTION("""COMPUTED_VALUE"""),"https://masterplan.com/courses/office-365-word-advanced2")</f>
        <v>https://masterplan.com/courses/office-365-word-advanced2</v>
      </c>
    </row>
    <row r="608">
      <c r="A608" s="6" t="str">
        <f>IFERROR(__xludf.DUMMYFUNCTION("""COMPUTED_VALUE"""),"Office 365: Word Advanced I")</f>
        <v>Office 365: Word Advanced I</v>
      </c>
      <c r="B608" s="7" t="str">
        <f>IFERROR(__xludf.DUMMYFUNCTION("""COMPUTED_VALUE"""),"Office 365: Word Advanced I")</f>
        <v>Office 365: Word Advanced I</v>
      </c>
      <c r="C608" s="8" t="str">
        <f>IFERROR(__xludf.DUMMYFUNCTION("""COMPUTED_VALUE"""),"In diesem Kurs werden dir weitere, nützliche Funktionen von Microsoft Word gezeigt. Von der Autokorrektur, über den Nummerierungen, bis hin zu dem Einfügen von Bildern - in diesem Kurs zeigt dir Holger, was dir die Arbeit mit Microsoft Word erleichtern ka"&amp;"nn.")</f>
        <v>In diesem Kurs werden dir weitere, nützliche Funktionen von Microsoft Word gezeigt. Von der Autokorrektur, über den Nummerierungen, bis hin zu dem Einfügen von Bildern - in diesem Kurs zeigt dir Holger, was dir die Arbeit mit Microsoft Word erleichtern kann.</v>
      </c>
      <c r="D608" s="8" t="str">
        <f>IFERROR(__xludf.DUMMYFUNCTION("""COMPUTED_VALUE"""),"After this course, you'll learn more useful functions in Microsoft Word, from auto-correction and numbering to inserting images. Holger shows you how to make your work with Microsoft Word as easy as can be!")</f>
        <v>After this course, you'll learn more useful functions in Microsoft Word, from auto-correction and numbering to inserting images. Holger shows you how to make your work with Microsoft Word as easy as can be!</v>
      </c>
      <c r="E608" s="27" t="str">
        <f>IFERROR(__xludf.DUMMYFUNCTION("""COMPUTED_VALUE"""),"Tools &amp; Tutorials")</f>
        <v>Tools &amp; Tutorials</v>
      </c>
      <c r="F608" s="10" t="str">
        <f>IFERROR(__xludf.DUMMYFUNCTION("""COMPUTED_VALUE"""),"Zeit im Griff - Holger Wöltje")</f>
        <v>Zeit im Griff - Holger Wöltje</v>
      </c>
      <c r="G608" s="11">
        <f>IFERROR(__xludf.DUMMYFUNCTION("""COMPUTED_VALUE"""),54.0)</f>
        <v>54</v>
      </c>
      <c r="H608" s="11">
        <f>IFERROR(__xludf.DUMMYFUNCTION("""COMPUTED_VALUE"""),18.0)</f>
        <v>18</v>
      </c>
      <c r="I608" s="12" t="str">
        <f>IFERROR(__xludf.DUMMYFUNCTION("""COMPUTED_VALUE"""),"English, German")</f>
        <v>English, German</v>
      </c>
      <c r="J608" s="12" t="str">
        <f>IFERROR(__xludf.DUMMYFUNCTION("""COMPUTED_VALUE"""),"English, German")</f>
        <v>English, German</v>
      </c>
      <c r="K608" s="13">
        <f>IFERROR(__xludf.DUMMYFUNCTION("""COMPUTED_VALUE"""),44141.0)</f>
        <v>44141</v>
      </c>
      <c r="L608" s="14" t="str">
        <f>IFERROR(__xludf.DUMMYFUNCTION("""COMPUTED_VALUE"""),"https://masterplan.com/courses/office-365-word-advanced1")</f>
        <v>https://masterplan.com/courses/office-365-word-advanced1</v>
      </c>
    </row>
    <row r="609">
      <c r="A609" s="15" t="str">
        <f>IFERROR(__xludf.DUMMYFUNCTION("""COMPUTED_VALUE"""),"Office 365: Word Basics")</f>
        <v>Office 365: Word Basics</v>
      </c>
      <c r="B609" s="16" t="str">
        <f>IFERROR(__xludf.DUMMYFUNCTION("""COMPUTED_VALUE"""),"Office 365: Word Basics")</f>
        <v>Office 365: Word Basics</v>
      </c>
      <c r="C609" s="17" t="str">
        <f>IFERROR(__xludf.DUMMYFUNCTION("""COMPUTED_VALUE"""),"Du möchtest ein Protokoll für das nächste Meeting schreiben und es übersichtlich gestalten? Microsoft Word bietet dir dafür alle notwendigen Tools. In diesem Kurs zeigt dir Holger alle wichtigen Grundlagen - von der Seitenlogik bis zum richtigen Format.")</f>
        <v>Du möchtest ein Protokoll für das nächste Meeting schreiben und es übersichtlich gestalten? Microsoft Word bietet dir dafür alle notwendigen Tools. In diesem Kurs zeigt dir Holger alle wichtigen Grundlagen - von der Seitenlogik bis zum richtigen Format.</v>
      </c>
      <c r="D609" s="17" t="str">
        <f>IFERROR(__xludf.DUMMYFUNCTION("""COMPUTED_VALUE"""),"Want to write minutes for your next meeting and arrange them clearly? Microsoft Word offers you all the tools you need. In this course, Holger shows you all the important basics – from page logic to the right format.")</f>
        <v>Want to write minutes for your next meeting and arrange them clearly? Microsoft Word offers you all the tools you need. In this course, Holger shows you all the important basics – from page logic to the right format.</v>
      </c>
      <c r="E609" s="27" t="str">
        <f>IFERROR(__xludf.DUMMYFUNCTION("""COMPUTED_VALUE"""),"Tools &amp; Tutorials")</f>
        <v>Tools &amp; Tutorials</v>
      </c>
      <c r="F609" s="19" t="str">
        <f>IFERROR(__xludf.DUMMYFUNCTION("""COMPUTED_VALUE"""),"Zeit im Griff - Holger Wöltje")</f>
        <v>Zeit im Griff - Holger Wöltje</v>
      </c>
      <c r="G609" s="20">
        <f>IFERROR(__xludf.DUMMYFUNCTION("""COMPUTED_VALUE"""),69.0)</f>
        <v>69</v>
      </c>
      <c r="H609" s="20">
        <f>IFERROR(__xludf.DUMMYFUNCTION("""COMPUTED_VALUE"""),27.0)</f>
        <v>27</v>
      </c>
      <c r="I609" s="21" t="str">
        <f>IFERROR(__xludf.DUMMYFUNCTION("""COMPUTED_VALUE"""),"English, German")</f>
        <v>English, German</v>
      </c>
      <c r="J609" s="21" t="str">
        <f>IFERROR(__xludf.DUMMYFUNCTION("""COMPUTED_VALUE"""),"English, German")</f>
        <v>English, German</v>
      </c>
      <c r="K609" s="22">
        <f>IFERROR(__xludf.DUMMYFUNCTION("""COMPUTED_VALUE"""),44134.0)</f>
        <v>44134</v>
      </c>
      <c r="L609" s="23" t="str">
        <f>IFERROR(__xludf.DUMMYFUNCTION("""COMPUTED_VALUE"""),"https://masterplan.com/courses/office365-word-basics")</f>
        <v>https://masterplan.com/courses/office365-word-basics</v>
      </c>
    </row>
    <row r="610">
      <c r="A610" s="6" t="str">
        <f>IFERROR(__xludf.DUMMYFUNCTION("""COMPUTED_VALUE"""),"Personalführung: Herausforderung Generation Z")</f>
        <v>Personalführung: Herausforderung Generation Z</v>
      </c>
      <c r="B610" s="7" t="str">
        <f>IFERROR(__xludf.DUMMYFUNCTION("""COMPUTED_VALUE"""),"Gen Z at Work")</f>
        <v>Gen Z at Work</v>
      </c>
      <c r="C610" s="8" t="str">
        <f>IFERROR(__xludf.DUMMYFUNCTION("""COMPUTED_VALUE"""),"Du möchtest die Ziele, Gedanken und Arbeitsweisen der Generation Z verstehen? Der Arbeitsmarkt begrüßt mehr und mehr die junge Generation in ihren Unternehmen. Doch wie passt du dein Führungsverhalten bestmöglich der motivierten und eigenständigen Gen Z a"&amp;"n?")</f>
        <v>Du möchtest die Ziele, Gedanken und Arbeitsweisen der Generation Z verstehen? Der Arbeitsmarkt begrüßt mehr und mehr die junge Generation in ihren Unternehmen. Doch wie passt du dein Führungsverhalten bestmöglich der motivierten und eigenständigen Gen Z an?</v>
      </c>
      <c r="D610" s="8" t="str">
        <f>IFERROR(__xludf.DUMMYFUNCTION("""COMPUTED_VALUE"""),"You want to understand the goals, way of thinking and the working methods of Generation Z? The job market is increasingly welcoming the younger generation into their companies. But how do you best adapt your leadership behavior to the motivated and indepe"&amp;"ndent Gen Z?")</f>
        <v>You want to understand the goals, way of thinking and the working methods of Generation Z? The job market is increasingly welcoming the younger generation into their companies. But how do you best adapt your leadership behavior to the motivated and independent Gen Z?</v>
      </c>
      <c r="E610" s="9" t="str">
        <f>IFERROR(__xludf.DUMMYFUNCTION("""COMPUTED_VALUE"""),"Global Citizenship")</f>
        <v>Global Citizenship</v>
      </c>
      <c r="F610" s="10" t="str">
        <f>IFERROR(__xludf.DUMMYFUNCTION("""COMPUTED_VALUE"""),"Masterplan com GmbH - Aya Jaff")</f>
        <v>Masterplan com GmbH - Aya Jaff</v>
      </c>
      <c r="G610" s="11">
        <f>IFERROR(__xludf.DUMMYFUNCTION("""COMPUTED_VALUE"""),15.0)</f>
        <v>15</v>
      </c>
      <c r="H610" s="11">
        <f>IFERROR(__xludf.DUMMYFUNCTION("""COMPUTED_VALUE"""),16.0)</f>
        <v>16</v>
      </c>
      <c r="I610" s="12" t="str">
        <f>IFERROR(__xludf.DUMMYFUNCTION("""COMPUTED_VALUE"""),"English, German")</f>
        <v>English, German</v>
      </c>
      <c r="J610" s="12" t="str">
        <f>IFERROR(__xludf.DUMMYFUNCTION("""COMPUTED_VALUE"""),"German")</f>
        <v>German</v>
      </c>
      <c r="K610" s="13">
        <f>IFERROR(__xludf.DUMMYFUNCTION("""COMPUTED_VALUE"""),44134.0)</f>
        <v>44134</v>
      </c>
      <c r="L610" s="14" t="str">
        <f>IFERROR(__xludf.DUMMYFUNCTION("""COMPUTED_VALUE"""),"https://masterplan.com/courses/generation-z-at-work")</f>
        <v>https://masterplan.com/courses/generation-z-at-work</v>
      </c>
    </row>
    <row r="611">
      <c r="A611" s="15" t="str">
        <f>IFERROR(__xludf.DUMMYFUNCTION("""COMPUTED_VALUE"""),"Office 365: Excel Advanced II")</f>
        <v>Office 365: Excel Advanced II</v>
      </c>
      <c r="B611" s="16" t="str">
        <f>IFERROR(__xludf.DUMMYFUNCTION("""COMPUTED_VALUE"""),"Office 365: Excel Advanced II")</f>
        <v>Office 365: Excel Advanced II</v>
      </c>
      <c r="C611" s="17" t="str">
        <f>IFERROR(__xludf.DUMMYFUNCTION("""COMPUTED_VALUE"""),"Im dritten Teil zu Excel geht es ans Eingemachte. Du kannst hier Gelerntes mit komplexerem Wissen über Excel kombinieren. Du erfährst, wie man Zeiträume berechnet, wie du mit Verweisen Daten aus verschiedenen Tabellen zusammenträgst und lernst alles zu Pi"&amp;"vot-Tabellen.")</f>
        <v>Im dritten Teil zu Excel geht es ans Eingemachte. Du kannst hier Gelerntes mit komplexerem Wissen über Excel kombinieren. Du erfährst, wie man Zeiträume berechnet, wie du mit Verweisen Daten aus verschiedenen Tabellen zusammenträgst und lernst alles zu Pivot-Tabellen.</v>
      </c>
      <c r="D611" s="17" t="str">
        <f>IFERROR(__xludf.DUMMYFUNCTION("""COMPUTED_VALUE"""),"In this third part on Excel, we get down to the nitty-gritty. Here, you will be able to combine everything you've learned with even more complex knowhow on Excel. You'll learn how to calculate time periods, how to use references to combine data from diffe"&amp;"rent tables, and everything there is to know about pivot tables.")</f>
        <v>In this third part on Excel, we get down to the nitty-gritty. Here, you will be able to combine everything you've learned with even more complex knowhow on Excel. You'll learn how to calculate time periods, how to use references to combine data from different tables, and everything there is to know about pivot tables.</v>
      </c>
      <c r="E611" s="27" t="str">
        <f>IFERROR(__xludf.DUMMYFUNCTION("""COMPUTED_VALUE"""),"Tools &amp; Tutorials")</f>
        <v>Tools &amp; Tutorials</v>
      </c>
      <c r="F611" s="19" t="str">
        <f>IFERROR(__xludf.DUMMYFUNCTION("""COMPUTED_VALUE"""),"Zeit im Griff - Holger Wöltje")</f>
        <v>Zeit im Griff - Holger Wöltje</v>
      </c>
      <c r="G611" s="20">
        <f>IFERROR(__xludf.DUMMYFUNCTION("""COMPUTED_VALUE"""),104.0)</f>
        <v>104</v>
      </c>
      <c r="H611" s="20">
        <f>IFERROR(__xludf.DUMMYFUNCTION("""COMPUTED_VALUE"""),33.0)</f>
        <v>33</v>
      </c>
      <c r="I611" s="21" t="str">
        <f>IFERROR(__xludf.DUMMYFUNCTION("""COMPUTED_VALUE"""),"German")</f>
        <v>German</v>
      </c>
      <c r="J611" s="21" t="str">
        <f>IFERROR(__xludf.DUMMYFUNCTION("""COMPUTED_VALUE"""),"German")</f>
        <v>German</v>
      </c>
      <c r="K611" s="22">
        <f>IFERROR(__xludf.DUMMYFUNCTION("""COMPUTED_VALUE"""),44113.0)</f>
        <v>44113</v>
      </c>
      <c r="L611" s="23" t="str">
        <f>IFERROR(__xludf.DUMMYFUNCTION("""COMPUTED_VALUE"""),"https://masterplan.com/courses/office365-excel-advanced-2")</f>
        <v>https://masterplan.com/courses/office365-excel-advanced-2</v>
      </c>
    </row>
    <row r="612">
      <c r="A612" s="6" t="str">
        <f>IFERROR(__xludf.DUMMYFUNCTION("""COMPUTED_VALUE"""),"Den Kunden für Dich gewinnen: Die DELTA-Methode")</f>
        <v>Den Kunden für Dich gewinnen: Die DELTA-Methode</v>
      </c>
      <c r="B612" s="7" t="str">
        <f>IFERROR(__xludf.DUMMYFUNCTION("""COMPUTED_VALUE"""),"Win Over Your Customer: The DELTA Method")</f>
        <v>Win Over Your Customer: The DELTA Method</v>
      </c>
      <c r="C612" s="8" t="str">
        <f>IFERROR(__xludf.DUMMYFUNCTION("""COMPUTED_VALUE"""),"Stelle gezielte Fragen und gewinne den Kunden für dich: Mit der DELTA-Methode kannst du die Verkaufserfahrung in ein Einkaufserlebnis umwandeln. Das hört sich für dich interessant an? Dann lerne mit diesem Kurs, wie du die Methode in deinem Arbeitsalltag "&amp;"anwendest!")</f>
        <v>Stelle gezielte Fragen und gewinne den Kunden für dich: Mit der DELTA-Methode kannst du die Verkaufserfahrung in ein Einkaufserlebnis umwandeln. Das hört sich für dich interessant an? Dann lerne mit diesem Kurs, wie du die Methode in deinem Arbeitsalltag anwendest!</v>
      </c>
      <c r="D612" s="8" t="str">
        <f>IFERROR(__xludf.DUMMYFUNCTION("""COMPUTED_VALUE"""),"Ask specific questions and win the customer over: With the DELTA method you can turn the sales experience into a shopping experience. Does that sound interesting to you? Then learn how to apply the method in your everyday work with this course!")</f>
        <v>Ask specific questions and win the customer over: With the DELTA method you can turn the sales experience into a shopping experience. Does that sound interesting to you? Then learn how to apply the method in your everyday work with this course!</v>
      </c>
      <c r="E612" s="9" t="str">
        <f>IFERROR(__xludf.DUMMYFUNCTION("""COMPUTED_VALUE"""),"Global Citizenship")</f>
        <v>Global Citizenship</v>
      </c>
      <c r="F612" s="31" t="str">
        <f>IFERROR(__xludf.DUMMYFUNCTION("""COMPUTED_VALUE"""),"readitfor.me")</f>
        <v>readitfor.me</v>
      </c>
      <c r="G612" s="11">
        <f>IFERROR(__xludf.DUMMYFUNCTION("""COMPUTED_VALUE"""),14.0)</f>
        <v>14</v>
      </c>
      <c r="H612" s="11">
        <f>IFERROR(__xludf.DUMMYFUNCTION("""COMPUTED_VALUE"""),16.0)</f>
        <v>16</v>
      </c>
      <c r="I612" s="12" t="str">
        <f>IFERROR(__xludf.DUMMYFUNCTION("""COMPUTED_VALUE"""),"English, German")</f>
        <v>English, German</v>
      </c>
      <c r="J612" s="12" t="str">
        <f>IFERROR(__xludf.DUMMYFUNCTION("""COMPUTED_VALUE"""),"Text only")</f>
        <v>Text only</v>
      </c>
      <c r="K612" s="13">
        <f>IFERROR(__xludf.DUMMYFUNCTION("""COMPUTED_VALUE"""),44112.0)</f>
        <v>44112</v>
      </c>
      <c r="L612" s="14" t="str">
        <f>IFERROR(__xludf.DUMMYFUNCTION("""COMPUTED_VALUE"""),"https://masterplan.com/courses/getting-into-the-mind-of-your-customer")</f>
        <v>https://masterplan.com/courses/getting-into-the-mind-of-your-customer</v>
      </c>
    </row>
    <row r="613">
      <c r="A613" s="15" t="str">
        <f>IFERROR(__xludf.DUMMYFUNCTION("""COMPUTED_VALUE"""),"Arbeitsschutz: Ergonomischer Arbeitsplatz")</f>
        <v>Arbeitsschutz: Ergonomischer Arbeitsplatz</v>
      </c>
      <c r="B613" s="16" t="str">
        <f>IFERROR(__xludf.DUMMYFUNCTION("""COMPUTED_VALUE"""),"Occupational Safety: Ergonomic Workplace")</f>
        <v>Occupational Safety: Ergonomic Workplace</v>
      </c>
      <c r="C613" s="17" t="str">
        <f>IFERROR(__xludf.DUMMYFUNCTION("""COMPUTED_VALUE"""),"Das ständige Sitzen im Büro ist ein nicht zu unterschätzendes Risiko für deine Gesundheit. In diesem Teil unseres Arbeitsschutzkurses erfährst du, wie du deinen Arbeitsplatz optimal einstellst und mit einfachen Tricks mehr Bewegung in deinen Arbeitsalltag"&amp;" bringst.")</f>
        <v>Das ständige Sitzen im Büro ist ein nicht zu unterschätzendes Risiko für deine Gesundheit. In diesem Teil unseres Arbeitsschutzkurses erfährst du, wie du deinen Arbeitsplatz optimal einstellst und mit einfachen Tricks mehr Bewegung in deinen Arbeitsalltag bringst.</v>
      </c>
      <c r="D613" s="17" t="str">
        <f>IFERROR(__xludf.DUMMYFUNCTION("""COMPUTED_VALUE"""),"Constant sitting in the office is a risk to your health that should not be underestimated. In this part of our occupational health and safety course, you will learn how to optimally adjust your workstation and bring more movement into your daily work rout"&amp;"ine with simple tricks.")</f>
        <v>Constant sitting in the office is a risk to your health that should not be underestimated. In this part of our occupational health and safety course, you will learn how to optimally adjust your workstation and bring more movement into your daily work routine with simple tricks.</v>
      </c>
      <c r="E613" s="9" t="str">
        <f>IFERROR(__xludf.DUMMYFUNCTION("""COMPUTED_VALUE"""),"Mandatory Training")</f>
        <v>Mandatory Training</v>
      </c>
      <c r="F613" s="19" t="str">
        <f>IFERROR(__xludf.DUMMYFUNCTION("""COMPUTED_VALUE"""),"Masterplan com GmbH")</f>
        <v>Masterplan com GmbH</v>
      </c>
      <c r="G613" s="20">
        <f>IFERROR(__xludf.DUMMYFUNCTION("""COMPUTED_VALUE"""),19.0)</f>
        <v>19</v>
      </c>
      <c r="H613" s="20">
        <f>IFERROR(__xludf.DUMMYFUNCTION("""COMPUTED_VALUE"""),7.0)</f>
        <v>7</v>
      </c>
      <c r="I613" s="21" t="str">
        <f>IFERROR(__xludf.DUMMYFUNCTION("""COMPUTED_VALUE"""),"English, German")</f>
        <v>English, German</v>
      </c>
      <c r="J613" s="21" t="str">
        <f>IFERROR(__xludf.DUMMYFUNCTION("""COMPUTED_VALUE"""),"English, German")</f>
        <v>English, German</v>
      </c>
      <c r="K613" s="22">
        <f>IFERROR(__xludf.DUMMYFUNCTION("""COMPUTED_VALUE"""),44102.0)</f>
        <v>44102</v>
      </c>
      <c r="L613" s="23" t="str">
        <f>IFERROR(__xludf.DUMMYFUNCTION("""COMPUTED_VALUE"""),"https://masterplan.com/courses/arbeitsschutz-ergonomie")</f>
        <v>https://masterplan.com/courses/arbeitsschutz-ergonomie</v>
      </c>
    </row>
    <row r="614">
      <c r="A614" s="6" t="str">
        <f>IFERROR(__xludf.DUMMYFUNCTION("""COMPUTED_VALUE"""),"Empathie als Führungsqualität")</f>
        <v>Empathie als Führungsqualität</v>
      </c>
      <c r="B614" s="7" t="str">
        <f>IFERROR(__xludf.DUMMYFUNCTION("""COMPUTED_VALUE"""),"Empathy as Leadership Quality")</f>
        <v>Empathy as Leadership Quality</v>
      </c>
      <c r="C614" s="8" t="str">
        <f>IFERROR(__xludf.DUMMYFUNCTION("""COMPUTED_VALUE"""),"Die Arbeit mit Erfahrungen und Emotionen ist etwas, mit dem sich nur wenige wohlfühlen, trotz der damit verbundenen Vorteile. Doch wie kannst du deine Führungsqualität mit dem von Brené Brown entwickelten Skillset verbessern?")</f>
        <v>Die Arbeit mit Erfahrungen und Emotionen ist etwas, mit dem sich nur wenige wohlfühlen, trotz der damit verbundenen Vorteile. Doch wie kannst du deine Führungsqualität mit dem von Brené Brown entwickelten Skillset verbessern?</v>
      </c>
      <c r="D614" s="8" t="str">
        <f>IFERROR(__xludf.DUMMYFUNCTION("""COMPUTED_VALUE"""),"Working with experiences and emotions is something few are comfortable with, despite the benefits it carries. How can you still improve your leadership qualities with the skill-set developed by Brené Brown?")</f>
        <v>Working with experiences and emotions is something few are comfortable with, despite the benefits it carries. How can you still improve your leadership qualities with the skill-set developed by Brené Brown?</v>
      </c>
      <c r="E614" s="24" t="str">
        <f>IFERROR(__xludf.DUMMYFUNCTION("""COMPUTED_VALUE"""),"Emotional Intelligence")</f>
        <v>Emotional Intelligence</v>
      </c>
      <c r="F614" s="31" t="str">
        <f>IFERROR(__xludf.DUMMYFUNCTION("""COMPUTED_VALUE"""),"readitfor.me")</f>
        <v>readitfor.me</v>
      </c>
      <c r="G614" s="11">
        <f>IFERROR(__xludf.DUMMYFUNCTION("""COMPUTED_VALUE"""),9.0)</f>
        <v>9</v>
      </c>
      <c r="H614" s="11">
        <f>IFERROR(__xludf.DUMMYFUNCTION("""COMPUTED_VALUE"""),15.0)</f>
        <v>15</v>
      </c>
      <c r="I614" s="12" t="str">
        <f>IFERROR(__xludf.DUMMYFUNCTION("""COMPUTED_VALUE"""),"English, German")</f>
        <v>English, German</v>
      </c>
      <c r="J614" s="12" t="str">
        <f>IFERROR(__xludf.DUMMYFUNCTION("""COMPUTED_VALUE"""),"Text only")</f>
        <v>Text only</v>
      </c>
      <c r="K614" s="13">
        <f>IFERROR(__xludf.DUMMYFUNCTION("""COMPUTED_VALUE"""),44099.0)</f>
        <v>44099</v>
      </c>
      <c r="L614" s="14" t="str">
        <f>IFERROR(__xludf.DUMMYFUNCTION("""COMPUTED_VALUE"""),"https://masterplan.com/courses/empathie-fuehrungspositionen")</f>
        <v>https://masterplan.com/courses/empathie-fuehrungspositionen</v>
      </c>
    </row>
    <row r="615">
      <c r="A615" s="15" t="str">
        <f>IFERROR(__xludf.DUMMYFUNCTION("""COMPUTED_VALUE"""),"Office 365: Excel Advanced I")</f>
        <v>Office 365: Excel Advanced I</v>
      </c>
      <c r="B615" s="16" t="str">
        <f>IFERROR(__xludf.DUMMYFUNCTION("""COMPUTED_VALUE"""),"Office 365: Excel Advanced I")</f>
        <v>Office 365: Excel Advanced I</v>
      </c>
      <c r="C615" s="17" t="str">
        <f>IFERROR(__xludf.DUMMYFUNCTION("""COMPUTED_VALUE"""),"Im Folgethema zu Excel Basics findest du hier weiteres Wissen über die Software, das dir hilft, mit großen Datenmengen zu arbeiten. Du erfährst alles von Filter setzen, über Datenschnitte bilden, bis hin zu den Möglichkeiten des Datenimports.")</f>
        <v>Im Folgethema zu Excel Basics findest du hier weiteres Wissen über die Software, das dir hilft, mit großen Datenmengen zu arbeiten. Du erfährst alles von Filter setzen, über Datenschnitte bilden, bis hin zu den Möglichkeiten des Datenimports.</v>
      </c>
      <c r="D615" s="17" t="str">
        <f>IFERROR(__xludf.DUMMYFUNCTION("""COMPUTED_VALUE"""),"In this follow-up to Excel Basics, you'll discover more valuable information on the software that will help you work with large amounts of data. You'll learn everything from setting filters and creating data sections, to the various ways of importing data"&amp;". ")</f>
        <v>In this follow-up to Excel Basics, you'll discover more valuable information on the software that will help you work with large amounts of data. You'll learn everything from setting filters and creating data sections, to the various ways of importing data. </v>
      </c>
      <c r="E615" s="27" t="str">
        <f>IFERROR(__xludf.DUMMYFUNCTION("""COMPUTED_VALUE"""),"Tools &amp; Tutorials")</f>
        <v>Tools &amp; Tutorials</v>
      </c>
      <c r="F615" s="19" t="str">
        <f>IFERROR(__xludf.DUMMYFUNCTION("""COMPUTED_VALUE"""),"Zeit im Griff - Holger Wöltje")</f>
        <v>Zeit im Griff - Holger Wöltje</v>
      </c>
      <c r="G615" s="20">
        <f>IFERROR(__xludf.DUMMYFUNCTION("""COMPUTED_VALUE"""),71.0)</f>
        <v>71</v>
      </c>
      <c r="H615" s="20">
        <f>IFERROR(__xludf.DUMMYFUNCTION("""COMPUTED_VALUE"""),24.0)</f>
        <v>24</v>
      </c>
      <c r="I615" s="21" t="str">
        <f>IFERROR(__xludf.DUMMYFUNCTION("""COMPUTED_VALUE"""),"English, German")</f>
        <v>English, German</v>
      </c>
      <c r="J615" s="21" t="str">
        <f>IFERROR(__xludf.DUMMYFUNCTION("""COMPUTED_VALUE"""),"English, German")</f>
        <v>English, German</v>
      </c>
      <c r="K615" s="22">
        <f>IFERROR(__xludf.DUMMYFUNCTION("""COMPUTED_VALUE"""),44099.0)</f>
        <v>44099</v>
      </c>
      <c r="L615" s="23" t="str">
        <f>IFERROR(__xludf.DUMMYFUNCTION("""COMPUTED_VALUE"""),"https://masterplan.com/courses/office365-excel-advanced-1")</f>
        <v>https://masterplan.com/courses/office365-excel-advanced-1</v>
      </c>
    </row>
    <row r="616">
      <c r="A616" s="6" t="str">
        <f>IFERROR(__xludf.DUMMYFUNCTION("""COMPUTED_VALUE"""),"Office 365: Excel Basics")</f>
        <v>Office 365: Excel Basics</v>
      </c>
      <c r="B616" s="7" t="str">
        <f>IFERROR(__xludf.DUMMYFUNCTION("""COMPUTED_VALUE"""),"Office 365: Excel Basics")</f>
        <v>Office 365: Excel Basics</v>
      </c>
      <c r="C616" s="8" t="str">
        <f>IFERROR(__xludf.DUMMYFUNCTION("""COMPUTED_VALUE"""),"Du hast bisher noch nie mit Excel gearbeitet, möchtest aber endlich mit diesem wichtigen Programm durchstarten? Dann schaue dir jetzt die Basics zu Microsoft Excel an, die Holger Wöltje dir Schritt für Schritt näherbringt.")</f>
        <v>Du hast bisher noch nie mit Excel gearbeitet, möchtest aber endlich mit diesem wichtigen Programm durchstarten? Dann schaue dir jetzt die Basics zu Microsoft Excel an, die Holger Wöltje dir Schritt für Schritt näherbringt.</v>
      </c>
      <c r="D616" s="8" t="str">
        <f>IFERROR(__xludf.DUMMYFUNCTION("""COMPUTED_VALUE"""),"You've never worked with Excel before, but you'd like to finally jump into this powerful program? Then check out the basics of Microsoft Excel – Holger Wöltje will show you them step by step.  ")</f>
        <v>You've never worked with Excel before, but you'd like to finally jump into this powerful program? Then check out the basics of Microsoft Excel – Holger Wöltje will show you them step by step.  </v>
      </c>
      <c r="E616" s="27" t="str">
        <f>IFERROR(__xludf.DUMMYFUNCTION("""COMPUTED_VALUE"""),"Tools &amp; Tutorials")</f>
        <v>Tools &amp; Tutorials</v>
      </c>
      <c r="F616" s="10" t="str">
        <f>IFERROR(__xludf.DUMMYFUNCTION("""COMPUTED_VALUE"""),"Zeit im Griff - Holger Wöltje")</f>
        <v>Zeit im Griff - Holger Wöltje</v>
      </c>
      <c r="G616" s="11">
        <f>IFERROR(__xludf.DUMMYFUNCTION("""COMPUTED_VALUE"""),69.0)</f>
        <v>69</v>
      </c>
      <c r="H616" s="11">
        <f>IFERROR(__xludf.DUMMYFUNCTION("""COMPUTED_VALUE"""),27.0)</f>
        <v>27</v>
      </c>
      <c r="I616" s="12" t="str">
        <f>IFERROR(__xludf.DUMMYFUNCTION("""COMPUTED_VALUE"""),"English, German")</f>
        <v>English, German</v>
      </c>
      <c r="J616" s="12" t="str">
        <f>IFERROR(__xludf.DUMMYFUNCTION("""COMPUTED_VALUE"""),"English, German")</f>
        <v>English, German</v>
      </c>
      <c r="K616" s="13">
        <f>IFERROR(__xludf.DUMMYFUNCTION("""COMPUTED_VALUE"""),44092.0)</f>
        <v>44092</v>
      </c>
      <c r="L616" s="14" t="str">
        <f>IFERROR(__xludf.DUMMYFUNCTION("""COMPUTED_VALUE"""),"https://masterplan.com/courses/office365-excel-basics")</f>
        <v>https://masterplan.com/courses/office365-excel-basics</v>
      </c>
    </row>
    <row r="617">
      <c r="A617" s="15" t="str">
        <f>IFERROR(__xludf.DUMMYFUNCTION("""COMPUTED_VALUE"""),"How to edit your own content")</f>
        <v>How to edit your own content</v>
      </c>
      <c r="B617" s="16" t="str">
        <f>IFERROR(__xludf.DUMMYFUNCTION("""COMPUTED_VALUE"""),"How to Edit Your Own Content")</f>
        <v>How to Edit Your Own Content</v>
      </c>
      <c r="C617" s="17" t="str">
        <f>IFERROR(__xludf.DUMMYFUNCTION("""COMPUTED_VALUE"""),"Mit dem richtigen Schnitt kannst du die Wirkung deines Videos verstärken und Informationen hervorheben. Ob die geeignete Festplattenordnung, die Sichtung deines Materials oder der Einsatz von Musik - in diesem Kurs verrät dir Zenon, wie dir der perfekte S"&amp;"chnitt gelingt.")</f>
        <v>Mit dem richtigen Schnitt kannst du die Wirkung deines Videos verstärken und Informationen hervorheben. Ob die geeignete Festplattenordnung, die Sichtung deines Materials oder der Einsatz von Musik - in diesem Kurs verrät dir Zenon, wie dir der perfekte Schnitt gelingt.</v>
      </c>
      <c r="D617" s="17" t="str">
        <f>IFERROR(__xludf.DUMMYFUNCTION("""COMPUTED_VALUE"""),"With proper editing, you can enhance the impact of your video and put an emphasis on information. Whether it's choosing the right hard drive, sifting through your footage or using music, in this course Zenon will show you how to create the perfect cut.")</f>
        <v>With proper editing, you can enhance the impact of your video and put an emphasis on information. Whether it's choosing the right hard drive, sifting through your footage or using music, in this course Zenon will show you how to create the perfect cut.</v>
      </c>
      <c r="E617" s="27" t="str">
        <f>IFERROR(__xludf.DUMMYFUNCTION("""COMPUTED_VALUE"""),"Tools &amp; Tutorials")</f>
        <v>Tools &amp; Tutorials</v>
      </c>
      <c r="F617" s="19" t="str">
        <f>IFERROR(__xludf.DUMMYFUNCTION("""COMPUTED_VALUE"""),"Masterplan com GmbH - Zenon Kristen")</f>
        <v>Masterplan com GmbH - Zenon Kristen</v>
      </c>
      <c r="G617" s="20">
        <f>IFERROR(__xludf.DUMMYFUNCTION("""COMPUTED_VALUE"""),43.0)</f>
        <v>43</v>
      </c>
      <c r="H617" s="20">
        <f>IFERROR(__xludf.DUMMYFUNCTION("""COMPUTED_VALUE"""),8.0)</f>
        <v>8</v>
      </c>
      <c r="I617" s="21" t="str">
        <f>IFERROR(__xludf.DUMMYFUNCTION("""COMPUTED_VALUE"""),"English, German")</f>
        <v>English, German</v>
      </c>
      <c r="J617" s="21" t="str">
        <f>IFERROR(__xludf.DUMMYFUNCTION("""COMPUTED_VALUE"""),"German")</f>
        <v>German</v>
      </c>
      <c r="K617" s="22">
        <f>IFERROR(__xludf.DUMMYFUNCTION("""COMPUTED_VALUE"""),44081.0)</f>
        <v>44081</v>
      </c>
      <c r="L617" s="23" t="str">
        <f>IFERROR(__xludf.DUMMYFUNCTION("""COMPUTED_VALUE"""),"https://masterplan.com/courses/howto-edit-content")</f>
        <v>https://masterplan.com/courses/howto-edit-content</v>
      </c>
    </row>
    <row r="618">
      <c r="A618" s="6" t="str">
        <f>IFERROR(__xludf.DUMMYFUNCTION("""COMPUTED_VALUE"""),"How to Shoot Your Own Content")</f>
        <v>How to Shoot Your Own Content</v>
      </c>
      <c r="B618" s="7" t="str">
        <f>IFERROR(__xludf.DUMMYFUNCTION("""COMPUTED_VALUE"""),"How to Shoot Your Own Content")</f>
        <v>How to Shoot Your Own Content</v>
      </c>
      <c r="C618" s="8" t="str">
        <f>IFERROR(__xludf.DUMMYFUNCTION("""COMPUTED_VALUE"""),"Für viele Firmen wird Video-Content zunehmend wichtiger. Mit unserem Masterplan Content Creator Set kannst du deine eigenen hochwertigen Videos drehen. Wie du mit dem Setup arbeitest- vom Aufbau, Framing, bis zum perfekten Licht - erfährst du von Ian in d"&amp;"iesem Kurs.")</f>
        <v>Für viele Firmen wird Video-Content zunehmend wichtiger. Mit unserem Masterplan Content Creator Set kannst du deine eigenen hochwertigen Videos drehen. Wie du mit dem Setup arbeitest- vom Aufbau, Framing, bis zum perfekten Licht - erfährst du von Ian in diesem Kurs.</v>
      </c>
      <c r="D618" s="8" t="str">
        <f>IFERROR(__xludf.DUMMYFUNCTION("""COMPUTED_VALUE"""),"For many companies, video content is becoming increasingly important. With our Masterplan Content Creator Set, you can shoot your own high-quality videos. Learn how to work with the set-up - from construction, framing, to perfect lighting - in this course"&amp;".")</f>
        <v>For many companies, video content is becoming increasingly important. With our Masterplan Content Creator Set, you can shoot your own high-quality videos. Learn how to work with the set-up - from construction, framing, to perfect lighting - in this course.</v>
      </c>
      <c r="E618" s="27" t="str">
        <f>IFERROR(__xludf.DUMMYFUNCTION("""COMPUTED_VALUE"""),"Tools &amp; Tutorials")</f>
        <v>Tools &amp; Tutorials</v>
      </c>
      <c r="F618" s="10" t="str">
        <f>IFERROR(__xludf.DUMMYFUNCTION("""COMPUTED_VALUE"""),"Masterplan com GmbH - Ian Siepmann")</f>
        <v>Masterplan com GmbH - Ian Siepmann</v>
      </c>
      <c r="G618" s="11">
        <f>IFERROR(__xludf.DUMMYFUNCTION("""COMPUTED_VALUE"""),19.0)</f>
        <v>19</v>
      </c>
      <c r="H618" s="11">
        <f>IFERROR(__xludf.DUMMYFUNCTION("""COMPUTED_VALUE"""),5.0)</f>
        <v>5</v>
      </c>
      <c r="I618" s="12" t="str">
        <f>IFERROR(__xludf.DUMMYFUNCTION("""COMPUTED_VALUE"""),"English, German")</f>
        <v>English, German</v>
      </c>
      <c r="J618" s="12" t="str">
        <f>IFERROR(__xludf.DUMMYFUNCTION("""COMPUTED_VALUE"""),"German")</f>
        <v>German</v>
      </c>
      <c r="K618" s="13">
        <f>IFERROR(__xludf.DUMMYFUNCTION("""COMPUTED_VALUE"""),44078.0)</f>
        <v>44078</v>
      </c>
      <c r="L618" s="14" t="str">
        <f>IFERROR(__xludf.DUMMYFUNCTION("""COMPUTED_VALUE"""),"https://masterplan.com/courses/howto-shoot-content")</f>
        <v>https://masterplan.com/courses/howto-shoot-content</v>
      </c>
    </row>
    <row r="619">
      <c r="A619" s="15" t="str">
        <f>IFERROR(__xludf.DUMMYFUNCTION("""COMPUTED_VALUE"""),"How to Produce Your Own Content")</f>
        <v>How to Produce Your Own Content</v>
      </c>
      <c r="B619" s="16" t="str">
        <f>IFERROR(__xludf.DUMMYFUNCTION("""COMPUTED_VALUE"""),"How to Produce Your Own Content")</f>
        <v>How to Produce Your Own Content</v>
      </c>
      <c r="C619" s="17" t="str">
        <f>IFERROR(__xludf.DUMMYFUNCTION("""COMPUTED_VALUE"""),"Mit der richtigen Vorarbeit kannst du deine Ideen mit unserem Content Creator Setup in Videos umsetzen. In diesem Kurs erklärt dir unser Regisseur Michael, wie dir dein Dreh - mit der Erstellung von Exposés, Skripten und Storytelling - gelingen wird.")</f>
        <v>Mit der richtigen Vorarbeit kannst du deine Ideen mit unserem Content Creator Setup in Videos umsetzen. In diesem Kurs erklärt dir unser Regisseur Michael, wie dir dein Dreh - mit der Erstellung von Exposés, Skripten und Storytelling - gelingen wird.</v>
      </c>
      <c r="D619" s="17" t="str">
        <f>IFERROR(__xludf.DUMMYFUNCTION("""COMPUTED_VALUE"""),"With the proper groundwork, you can turn your ideas into videos with our Content Creator setup. In this course, our director, Michael, will explain how to turn your film - with the creation of synopses, scripts and storytelling - into a success.")</f>
        <v>With the proper groundwork, you can turn your ideas into videos with our Content Creator setup. In this course, our director, Michael, will explain how to turn your film - with the creation of synopses, scripts and storytelling - into a success.</v>
      </c>
      <c r="E619" s="27" t="str">
        <f>IFERROR(__xludf.DUMMYFUNCTION("""COMPUTED_VALUE"""),"Tools &amp; Tutorials")</f>
        <v>Tools &amp; Tutorials</v>
      </c>
      <c r="F619" s="19" t="str">
        <f>IFERROR(__xludf.DUMMYFUNCTION("""COMPUTED_VALUE"""),"Masterplan com GmbH - Michael Knöfler ")</f>
        <v>Masterplan com GmbH - Michael Knöfler </v>
      </c>
      <c r="G619" s="20">
        <f>IFERROR(__xludf.DUMMYFUNCTION("""COMPUTED_VALUE"""),47.0)</f>
        <v>47</v>
      </c>
      <c r="H619" s="20">
        <f>IFERROR(__xludf.DUMMYFUNCTION("""COMPUTED_VALUE"""),8.0)</f>
        <v>8</v>
      </c>
      <c r="I619" s="21" t="str">
        <f>IFERROR(__xludf.DUMMYFUNCTION("""COMPUTED_VALUE"""),"English, German")</f>
        <v>English, German</v>
      </c>
      <c r="J619" s="21" t="str">
        <f>IFERROR(__xludf.DUMMYFUNCTION("""COMPUTED_VALUE"""),"German")</f>
        <v>German</v>
      </c>
      <c r="K619" s="22">
        <f>IFERROR(__xludf.DUMMYFUNCTION("""COMPUTED_VALUE"""),44075.0)</f>
        <v>44075</v>
      </c>
      <c r="L619" s="23" t="str">
        <f>IFERROR(__xludf.DUMMYFUNCTION("""COMPUTED_VALUE"""),"https://masterplan.com/courses/howto-produce-own-content")</f>
        <v>https://masterplan.com/courses/howto-produce-own-content</v>
      </c>
    </row>
    <row r="620">
      <c r="A620" s="6" t="str">
        <f>IFERROR(__xludf.DUMMYFUNCTION("""COMPUTED_VALUE"""),"Office 365: OneNote Expert")</f>
        <v>Office 365: OneNote Expert</v>
      </c>
      <c r="B620" s="7" t="str">
        <f>IFERROR(__xludf.DUMMYFUNCTION("""COMPUTED_VALUE"""),"Office 365: OneNote Expert")</f>
        <v>Office 365: OneNote Expert</v>
      </c>
      <c r="C620" s="8" t="str">
        <f>IFERROR(__xludf.DUMMYFUNCTION("""COMPUTED_VALUE"""),"OneNote bietet nicht nur vielfältige Möglichkeiten, alleine zu arbeiten. Multipliziere deine Effizienz, indem du lernst OneNote in deinem Team und in Kombination mit anderen Programmen zu nutzen.")</f>
        <v>OneNote bietet nicht nur vielfältige Möglichkeiten, alleine zu arbeiten. Multipliziere deine Effizienz, indem du lernst OneNote in deinem Team und in Kombination mit anderen Programmen zu nutzen.</v>
      </c>
      <c r="D620" s="8" t="str">
        <f>IFERROR(__xludf.DUMMYFUNCTION("""COMPUTED_VALUE"""),"OneNote not only delivers a multitude of ways to work on your own. Maximize your efficiency by learning to use OneNote in your team and in combination with other programs.")</f>
        <v>OneNote not only delivers a multitude of ways to work on your own. Maximize your efficiency by learning to use OneNote in your team and in combination with other programs.</v>
      </c>
      <c r="E620" s="27" t="str">
        <f>IFERROR(__xludf.DUMMYFUNCTION("""COMPUTED_VALUE"""),"Tools &amp; Tutorials")</f>
        <v>Tools &amp; Tutorials</v>
      </c>
      <c r="F620" s="10" t="str">
        <f>IFERROR(__xludf.DUMMYFUNCTION("""COMPUTED_VALUE"""),"Zeit im Griff - Holger Wöltje")</f>
        <v>Zeit im Griff - Holger Wöltje</v>
      </c>
      <c r="G620" s="11">
        <f>IFERROR(__xludf.DUMMYFUNCTION("""COMPUTED_VALUE"""),55.0)</f>
        <v>55</v>
      </c>
      <c r="H620" s="11">
        <f>IFERROR(__xludf.DUMMYFUNCTION("""COMPUTED_VALUE"""),21.0)</f>
        <v>21</v>
      </c>
      <c r="I620" s="12" t="str">
        <f>IFERROR(__xludf.DUMMYFUNCTION("""COMPUTED_VALUE"""),"German")</f>
        <v>German</v>
      </c>
      <c r="J620" s="12" t="str">
        <f>IFERROR(__xludf.DUMMYFUNCTION("""COMPUTED_VALUE"""),"German")</f>
        <v>German</v>
      </c>
      <c r="K620" s="13">
        <f>IFERROR(__xludf.DUMMYFUNCTION("""COMPUTED_VALUE"""),44069.0)</f>
        <v>44069</v>
      </c>
      <c r="L620" s="14" t="str">
        <f>IFERROR(__xludf.DUMMYFUNCTION("""COMPUTED_VALUE"""),"https://masterplan.com/courses/office-365-onenote-expert")</f>
        <v>https://masterplan.com/courses/office-365-onenote-expert</v>
      </c>
    </row>
    <row r="621">
      <c r="A621" s="15" t="str">
        <f>IFERROR(__xludf.DUMMYFUNCTION("""COMPUTED_VALUE"""),"Office 365: OneNote Advanced")</f>
        <v>Office 365: OneNote Advanced</v>
      </c>
      <c r="B621" s="16" t="str">
        <f>IFERROR(__xludf.DUMMYFUNCTION("""COMPUTED_VALUE"""),"Office 365: OneNote Advanced")</f>
        <v>Office 365: OneNote Advanced</v>
      </c>
      <c r="C621" s="17" t="str">
        <f>IFERROR(__xludf.DUMMYFUNCTION("""COMPUTED_VALUE"""),"Mit Microsoft OneNote kannst du deinen Arbeitsalltag strukturiert gestalten. In diesem Kurs erfährst du von Holger, welche Möglichkeiten OneNote dir bietet. Vom Erstellen von Checklisten, dem Anlegen von Gliederungen, bis hin zum Arbeiten mit Kategorien.")</f>
        <v>Mit Microsoft OneNote kannst du deinen Arbeitsalltag strukturiert gestalten. In diesem Kurs erfährst du von Holger, welche Möglichkeiten OneNote dir bietet. Vom Erstellen von Checklisten, dem Anlegen von Gliederungen, bis hin zum Arbeiten mit Kategorien.</v>
      </c>
      <c r="D621" s="17" t="str">
        <f>IFERROR(__xludf.DUMMYFUNCTION("""COMPUTED_VALUE"""),"Microsoft OneNote supports you in structuring your everyday tasks. In this course, Holger will share the possibilities that OneNote has to offer – from creating checklists and outlines, to working with sections.")</f>
        <v>Microsoft OneNote supports you in structuring your everyday tasks. In this course, Holger will share the possibilities that OneNote has to offer – from creating checklists and outlines, to working with sections.</v>
      </c>
      <c r="E621" s="27" t="str">
        <f>IFERROR(__xludf.DUMMYFUNCTION("""COMPUTED_VALUE"""),"Tools &amp; Tutorials")</f>
        <v>Tools &amp; Tutorials</v>
      </c>
      <c r="F621" s="19" t="str">
        <f>IFERROR(__xludf.DUMMYFUNCTION("""COMPUTED_VALUE"""),"Zeit im Griff - Holger Wöltje")</f>
        <v>Zeit im Griff - Holger Wöltje</v>
      </c>
      <c r="G621" s="20">
        <f>IFERROR(__xludf.DUMMYFUNCTION("""COMPUTED_VALUE"""),65.0)</f>
        <v>65</v>
      </c>
      <c r="H621" s="20">
        <f>IFERROR(__xludf.DUMMYFUNCTION("""COMPUTED_VALUE"""),18.0)</f>
        <v>18</v>
      </c>
      <c r="I621" s="21" t="str">
        <f>IFERROR(__xludf.DUMMYFUNCTION("""COMPUTED_VALUE"""),"German")</f>
        <v>German</v>
      </c>
      <c r="J621" s="21" t="str">
        <f>IFERROR(__xludf.DUMMYFUNCTION("""COMPUTED_VALUE"""),"German")</f>
        <v>German</v>
      </c>
      <c r="K621" s="22">
        <f>IFERROR(__xludf.DUMMYFUNCTION("""COMPUTED_VALUE"""),44053.0)</f>
        <v>44053</v>
      </c>
      <c r="L621" s="23" t="str">
        <f>IFERROR(__xludf.DUMMYFUNCTION("""COMPUTED_VALUE"""),"https://masterplan.com/courses/office365-onenote-advanced")</f>
        <v>https://masterplan.com/courses/office365-onenote-advanced</v>
      </c>
    </row>
    <row r="622">
      <c r="A622" s="6" t="str">
        <f>IFERROR(__xludf.DUMMYFUNCTION("""COMPUTED_VALUE"""),"Office 365: Outlook Expert")</f>
        <v>Office 365: Outlook Expert</v>
      </c>
      <c r="B622" s="7" t="str">
        <f>IFERROR(__xludf.DUMMYFUNCTION("""COMPUTED_VALUE"""),"Office 365: Outlook Expert")</f>
        <v>Office 365: Outlook Expert</v>
      </c>
      <c r="C622" s="8" t="str">
        <f>IFERROR(__xludf.DUMMYFUNCTION("""COMPUTED_VALUE"""),"Selbst wenn du schon erfolgreich mit Outlook arbeitest, bietet das Programm oft Funktionen, von denen du nichts wusstest, oder die dir kompliziert erscheinen. Hier lernst du, Besprechungen zu verwalten, sowie Kalender und Postfächer mit Kollegen zu teilen"&amp;".")</f>
        <v>Selbst wenn du schon erfolgreich mit Outlook arbeitest, bietet das Programm oft Funktionen, von denen du nichts wusstest, oder die dir kompliziert erscheinen. Hier lernst du, Besprechungen zu verwalten, sowie Kalender und Postfächer mit Kollegen zu teilen.</v>
      </c>
      <c r="D622" s="8" t="str">
        <f>IFERROR(__xludf.DUMMYFUNCTION("""COMPUTED_VALUE"""),"Even if you already work comfortably with Outlook, there are probably still features you didn't know about or might find complicated. Here, you'll learn how to manage meetings, as well as share calendars and mailboxes with colleagues, as well as other hel"&amp;"pful Outlook tips.")</f>
        <v>Even if you already work comfortably with Outlook, there are probably still features you didn't know about or might find complicated. Here, you'll learn how to manage meetings, as well as share calendars and mailboxes with colleagues, as well as other helpful Outlook tips.</v>
      </c>
      <c r="E622" s="27" t="str">
        <f>IFERROR(__xludf.DUMMYFUNCTION("""COMPUTED_VALUE"""),"Tools &amp; Tutorials")</f>
        <v>Tools &amp; Tutorials</v>
      </c>
      <c r="F622" s="10" t="str">
        <f>IFERROR(__xludf.DUMMYFUNCTION("""COMPUTED_VALUE"""),"Zeit im Griff - Holger Wöltje")</f>
        <v>Zeit im Griff - Holger Wöltje</v>
      </c>
      <c r="G622" s="11">
        <f>IFERROR(__xludf.DUMMYFUNCTION("""COMPUTED_VALUE"""),50.0)</f>
        <v>50</v>
      </c>
      <c r="H622" s="11">
        <f>IFERROR(__xludf.DUMMYFUNCTION("""COMPUTED_VALUE"""),15.0)</f>
        <v>15</v>
      </c>
      <c r="I622" s="12" t="str">
        <f>IFERROR(__xludf.DUMMYFUNCTION("""COMPUTED_VALUE"""),"English, German")</f>
        <v>English, German</v>
      </c>
      <c r="J622" s="12" t="str">
        <f>IFERROR(__xludf.DUMMYFUNCTION("""COMPUTED_VALUE"""),"English, German")</f>
        <v>English, German</v>
      </c>
      <c r="K622" s="13">
        <f>IFERROR(__xludf.DUMMYFUNCTION("""COMPUTED_VALUE"""),44022.0)</f>
        <v>44022</v>
      </c>
      <c r="L622" s="14" t="str">
        <f>IFERROR(__xludf.DUMMYFUNCTION("""COMPUTED_VALUE"""),"https://masterplan.com/courses/office-365-outlook-expert")</f>
        <v>https://masterplan.com/courses/office-365-outlook-expert</v>
      </c>
    </row>
    <row r="623">
      <c r="A623" s="15" t="str">
        <f>IFERROR(__xludf.DUMMYFUNCTION("""COMPUTED_VALUE"""),"Konfliktlösung")</f>
        <v>Konfliktlösung</v>
      </c>
      <c r="B623" s="16" t="str">
        <f>IFERROR(__xludf.DUMMYFUNCTION("""COMPUTED_VALUE"""),"Conflict Resolution")</f>
        <v>Conflict Resolution</v>
      </c>
      <c r="C623" s="17" t="str">
        <f>IFERROR(__xludf.DUMMYFUNCTION("""COMPUTED_VALUE"""),"Konflikte sind unangenehm und der Umgang mit ihnen muss gelernt sein. In diesem Kurs erfährst du von Karin, wie du mit Konflikten umgehen kannst - vom zielführenden Sprechen, über das Geben von Feedback bis hin zum souveränen Umgang mit persönlichen Angri"&amp;"ffen.")</f>
        <v>Konflikte sind unangenehm und der Umgang mit ihnen muss gelernt sein. In diesem Kurs erfährst du von Karin, wie du mit Konflikten umgehen kannst - vom zielführenden Sprechen, über das Geben von Feedback bis hin zum souveränen Umgang mit persönlichen Angriffen.</v>
      </c>
      <c r="D623" s="17" t="str">
        <f>IFERROR(__xludf.DUMMYFUNCTION("""COMPUTED_VALUE"""),"Conflicts are uncomfortable and they have to be learned to deal with them. In this course, you will learn from Karin how you can deal with conflicts - from speaking effectively, giving feedback to confidently dealing with personal attacks.")</f>
        <v>Conflicts are uncomfortable and they have to be learned to deal with them. In this course, you will learn from Karin how you can deal with conflicts - from speaking effectively, giving feedback to confidently dealing with personal attacks.</v>
      </c>
      <c r="E623" s="24" t="str">
        <f>IFERROR(__xludf.DUMMYFUNCTION("""COMPUTED_VALUE"""),"Emotional Intelligence")</f>
        <v>Emotional Intelligence</v>
      </c>
      <c r="F623" s="19" t="str">
        <f>IFERROR(__xludf.DUMMYFUNCTION("""COMPUTED_VALUE"""),"Masterplan com GmbH - Karin Kuschik")</f>
        <v>Masterplan com GmbH - Karin Kuschik</v>
      </c>
      <c r="G623" s="20">
        <f>IFERROR(__xludf.DUMMYFUNCTION("""COMPUTED_VALUE"""),56.0)</f>
        <v>56</v>
      </c>
      <c r="H623" s="20">
        <f>IFERROR(__xludf.DUMMYFUNCTION("""COMPUTED_VALUE"""),23.0)</f>
        <v>23</v>
      </c>
      <c r="I623" s="21" t="str">
        <f>IFERROR(__xludf.DUMMYFUNCTION("""COMPUTED_VALUE"""),"English, German")</f>
        <v>English, German</v>
      </c>
      <c r="J623" s="21" t="str">
        <f>IFERROR(__xludf.DUMMYFUNCTION("""COMPUTED_VALUE"""),"English, German")</f>
        <v>English, German</v>
      </c>
      <c r="K623" s="22">
        <f>IFERROR(__xludf.DUMMYFUNCTION("""COMPUTED_VALUE"""),44021.0)</f>
        <v>44021</v>
      </c>
      <c r="L623" s="23" t="str">
        <f>IFERROR(__xludf.DUMMYFUNCTION("""COMPUTED_VALUE"""),"https://masterplan.com/courses/konfliktloesung")</f>
        <v>https://masterplan.com/courses/konfliktloesung</v>
      </c>
    </row>
    <row r="624">
      <c r="A624" s="6" t="str">
        <f>IFERROR(__xludf.DUMMYFUNCTION("""COMPUTED_VALUE"""),"Office 365: Teams Expert")</f>
        <v>Office 365: Teams Expert</v>
      </c>
      <c r="B624" s="7" t="str">
        <f>IFERROR(__xludf.DUMMYFUNCTION("""COMPUTED_VALUE"""),"Office 365: Teams Expert")</f>
        <v>Office 365: Teams Expert</v>
      </c>
      <c r="C624" s="8" t="str">
        <f>IFERROR(__xludf.DUMMYFUNCTION("""COMPUTED_VALUE"""),"Du möchtest deinen Jahresauftakt online für über 1000 Personen präsentieren? Teams Liveereignisse bieten dir dafür die Möglichkeit. In diesem Kurs zeigt dir Holger - von der Planung, über die Probe, bis hin zur Durchführung -  wie du Microsoft Teams für l"&amp;"ive streaming nutzt.")</f>
        <v>Du möchtest deinen Jahresauftakt online für über 1000 Personen präsentieren? Teams Liveereignisse bieten dir dafür die Möglichkeit. In diesem Kurs zeigt dir Holger - von der Planung, über die Probe, bis hin zur Durchführung -  wie du Microsoft Teams für live streaming nutzt.</v>
      </c>
      <c r="D624" s="8" t="str">
        <f>IFERROR(__xludf.DUMMYFUNCTION("""COMPUTED_VALUE"""),"Planning a large event or presentation you want to stream live to thousands of viewers? Microsoft Teams live events is the solution. In this course, you'll discover how to organize such an event - from planning and rehearsal to finally streaming live to y"&amp;"our audience.")</f>
        <v>Planning a large event or presentation you want to stream live to thousands of viewers? Microsoft Teams live events is the solution. In this course, you'll discover how to organize such an event - from planning and rehearsal to finally streaming live to your audience.</v>
      </c>
      <c r="E624" s="27" t="str">
        <f>IFERROR(__xludf.DUMMYFUNCTION("""COMPUTED_VALUE"""),"Tools &amp; Tutorials")</f>
        <v>Tools &amp; Tutorials</v>
      </c>
      <c r="F624" s="10" t="str">
        <f>IFERROR(__xludf.DUMMYFUNCTION("""COMPUTED_VALUE"""),"Zeit im Griff - Holger Wöltje")</f>
        <v>Zeit im Griff - Holger Wöltje</v>
      </c>
      <c r="G624" s="11">
        <f>IFERROR(__xludf.DUMMYFUNCTION("""COMPUTED_VALUE"""),68.0)</f>
        <v>68</v>
      </c>
      <c r="H624" s="11">
        <f>IFERROR(__xludf.DUMMYFUNCTION("""COMPUTED_VALUE"""),23.0)</f>
        <v>23</v>
      </c>
      <c r="I624" s="12" t="str">
        <f>IFERROR(__xludf.DUMMYFUNCTION("""COMPUTED_VALUE"""),"English, German")</f>
        <v>English, German</v>
      </c>
      <c r="J624" s="12" t="str">
        <f>IFERROR(__xludf.DUMMYFUNCTION("""COMPUTED_VALUE"""),"English, German")</f>
        <v>English, German</v>
      </c>
      <c r="K624" s="13">
        <f>IFERROR(__xludf.DUMMYFUNCTION("""COMPUTED_VALUE"""),44021.0)</f>
        <v>44021</v>
      </c>
      <c r="L624" s="14" t="str">
        <f>IFERROR(__xludf.DUMMYFUNCTION("""COMPUTED_VALUE"""),"https://masterplan.com/courses/office-365-teams-expert")</f>
        <v>https://masterplan.com/courses/office-365-teams-expert</v>
      </c>
    </row>
    <row r="625">
      <c r="A625" s="15" t="str">
        <f>IFERROR(__xludf.DUMMYFUNCTION("""COMPUTED_VALUE"""),"Office 365: Teams Advanced")</f>
        <v>Office 365: Teams Advanced</v>
      </c>
      <c r="B625" s="16" t="str">
        <f>IFERROR(__xludf.DUMMYFUNCTION("""COMPUTED_VALUE"""),"Office 365: Teams Advanced")</f>
        <v>Office 365: Teams Advanced</v>
      </c>
      <c r="C625" s="17" t="str">
        <f>IFERROR(__xludf.DUMMYFUNCTION("""COMPUTED_VALUE"""),"Microsoft Teams bietet dir viele Möglichkeiten und Tools, mit denen du die Kommunikation in deinem Arbeitsalltag übersichtlicher und effizienter gestalten kannst - von virtuellen Teambesprechungen, bis hin zu dem Abspeichern von Beiträgen.")</f>
        <v>Microsoft Teams bietet dir viele Möglichkeiten und Tools, mit denen du die Kommunikation in deinem Arbeitsalltag übersichtlicher und effizienter gestalten kannst - von virtuellen Teambesprechungen, bis hin zu dem Abspeichern von Beiträgen.</v>
      </c>
      <c r="D625" s="17" t="str">
        <f>IFERROR(__xludf.DUMMYFUNCTION("""COMPUTED_VALUE"""),"Microsoft Teams offers you a number of ways and tools to make your workday more organized and efficient - from virtual team meetings to group chats.")</f>
        <v>Microsoft Teams offers you a number of ways and tools to make your workday more organized and efficient - from virtual team meetings to group chats.</v>
      </c>
      <c r="E625" s="27" t="str">
        <f>IFERROR(__xludf.DUMMYFUNCTION("""COMPUTED_VALUE"""),"Tools &amp; Tutorials")</f>
        <v>Tools &amp; Tutorials</v>
      </c>
      <c r="F625" s="19" t="str">
        <f>IFERROR(__xludf.DUMMYFUNCTION("""COMPUTED_VALUE"""),"Zeit im Griff - Holger Wöltje")</f>
        <v>Zeit im Griff - Holger Wöltje</v>
      </c>
      <c r="G625" s="20">
        <f>IFERROR(__xludf.DUMMYFUNCTION("""COMPUTED_VALUE"""),51.0)</f>
        <v>51</v>
      </c>
      <c r="H625" s="20">
        <f>IFERROR(__xludf.DUMMYFUNCTION("""COMPUTED_VALUE"""),24.0)</f>
        <v>24</v>
      </c>
      <c r="I625" s="21" t="str">
        <f>IFERROR(__xludf.DUMMYFUNCTION("""COMPUTED_VALUE"""),"English, German")</f>
        <v>English, German</v>
      </c>
      <c r="J625" s="21" t="str">
        <f>IFERROR(__xludf.DUMMYFUNCTION("""COMPUTED_VALUE"""),"English, German")</f>
        <v>English, German</v>
      </c>
      <c r="K625" s="22">
        <f>IFERROR(__xludf.DUMMYFUNCTION("""COMPUTED_VALUE"""),44012.0)</f>
        <v>44012</v>
      </c>
      <c r="L625" s="23" t="str">
        <f>IFERROR(__xludf.DUMMYFUNCTION("""COMPUTED_VALUE"""),"https://masterplan.com/courses/office365-teams-advanced")</f>
        <v>https://masterplan.com/courses/office365-teams-advanced</v>
      </c>
    </row>
    <row r="626">
      <c r="A626" s="6" t="str">
        <f>IFERROR(__xludf.DUMMYFUNCTION("""COMPUTED_VALUE"""),"HR im Wandel: Unternehmenskultur bei Axel Springer (Case Study)")</f>
        <v>HR im Wandel: Unternehmenskultur bei Axel Springer (Case Study)</v>
      </c>
      <c r="B626" s="7" t="str">
        <f>IFERROR(__xludf.DUMMYFUNCTION("""COMPUTED_VALUE"""),"HR is Changing: People &amp; Culture at Axel Springer (Case study)")</f>
        <v>HR is Changing: People &amp; Culture at Axel Springer (Case study)</v>
      </c>
      <c r="C626" s="8" t="str">
        <f>IFERROR(__xludf.DUMMYFUNCTION("""COMPUTED_VALUE"""),"Die Arbeitswelt erfährt einen grundlegenden Wandel. New Work und People and Culture sind die Schlagbegriffe. Welche Veränderungen der HR-Bereich bei Axel Springer unterliegt und wie New Work im Unternehmen etabliert werden kann, erfährst du von Florian Kl"&amp;"ages.")</f>
        <v>Die Arbeitswelt erfährt einen grundlegenden Wandel. New Work und People and Culture sind die Schlagbegriffe. Welche Veränderungen der HR-Bereich bei Axel Springer unterliegt und wie New Work im Unternehmen etabliert werden kann, erfährst du von Florian Klages.</v>
      </c>
      <c r="D626" s="8" t="str">
        <f>IFERROR(__xludf.DUMMYFUNCTION("""COMPUTED_VALUE"""),"The world of work is undergoing fundamental change. ""New Work"" and ""People and Culture"" are two of the buzzwords. Florian Klages will explain what changes the HR department at Axel Springer is undergoing and how New Work can be established in the comp"&amp;"any.")</f>
        <v>The world of work is undergoing fundamental change. "New Work" and "People and Culture" are two of the buzzwords. Florian Klages will explain what changes the HR department at Axel Springer is undergoing and how New Work can be established in the company.</v>
      </c>
      <c r="E626" s="26" t="str">
        <f>IFERROR(__xludf.DUMMYFUNCTION("""COMPUTED_VALUE"""),"Collaboration and Leadership")</f>
        <v>Collaboration and Leadership</v>
      </c>
      <c r="F626" s="10" t="str">
        <f>IFERROR(__xludf.DUMMYFUNCTION("""COMPUTED_VALUE"""),"Masterplan com GmbH - Florian Klages")</f>
        <v>Masterplan com GmbH - Florian Klages</v>
      </c>
      <c r="G626" s="11">
        <f>IFERROR(__xludf.DUMMYFUNCTION("""COMPUTED_VALUE"""),37.0)</f>
        <v>37</v>
      </c>
      <c r="H626" s="11">
        <f>IFERROR(__xludf.DUMMYFUNCTION("""COMPUTED_VALUE"""),16.0)</f>
        <v>16</v>
      </c>
      <c r="I626" s="12" t="str">
        <f>IFERROR(__xludf.DUMMYFUNCTION("""COMPUTED_VALUE"""),"English, German")</f>
        <v>English, German</v>
      </c>
      <c r="J626" s="12" t="str">
        <f>IFERROR(__xludf.DUMMYFUNCTION("""COMPUTED_VALUE"""),"German")</f>
        <v>German</v>
      </c>
      <c r="K626" s="13">
        <f>IFERROR(__xludf.DUMMYFUNCTION("""COMPUTED_VALUE"""),44007.0)</f>
        <v>44007</v>
      </c>
      <c r="L626" s="14" t="str">
        <f>IFERROR(__xludf.DUMMYFUNCTION("""COMPUTED_VALUE"""),"https://masterplan.com/courses/hr-im-wandel")</f>
        <v>https://masterplan.com/courses/hr-im-wandel</v>
      </c>
    </row>
    <row r="627">
      <c r="A627" s="15" t="str">
        <f>IFERROR(__xludf.DUMMYFUNCTION("""COMPUTED_VALUE"""),"Office 365: Outlook Advanced")</f>
        <v>Office 365: Outlook Advanced</v>
      </c>
      <c r="B627" s="16" t="str">
        <f>IFERROR(__xludf.DUMMYFUNCTION("""COMPUTED_VALUE"""),"Office 365: Outlook Advanced")</f>
        <v>Office 365: Outlook Advanced</v>
      </c>
      <c r="C627" s="17" t="str">
        <f>IFERROR(__xludf.DUMMYFUNCTION("""COMPUTED_VALUE"""),"Nachdem du den Einstieg in Outlook gefunden hast, ist es jetzt an der Zeit, erweiterte Funktionen zu entdecken, die dir helfen, Outlook an deine Bedürfnisse anzupassen und deinen Arbeitsalltag effizienter zu gestalten. Tue die nächsten Schritte, um Outloo"&amp;"k Experte zu werden.")</f>
        <v>Nachdem du den Einstieg in Outlook gefunden hast, ist es jetzt an der Zeit, erweiterte Funktionen zu entdecken, die dir helfen, Outlook an deine Bedürfnisse anzupassen und deinen Arbeitsalltag effizienter zu gestalten. Tue die nächsten Schritte, um Outlook Experte zu werden.</v>
      </c>
      <c r="D627" s="17" t="str">
        <f>IFERROR(__xludf.DUMMYFUNCTION("""COMPUTED_VALUE"""),"After you have found your way into Outlook, it is now time to discover additional functions that will help you adapt Outlook to your needs and make your everyday work more efficient. Do the next steps to become an Outlook expert.")</f>
        <v>After you have found your way into Outlook, it is now time to discover additional functions that will help you adapt Outlook to your needs and make your everyday work more efficient. Do the next steps to become an Outlook expert.</v>
      </c>
      <c r="E627" s="27" t="str">
        <f>IFERROR(__xludf.DUMMYFUNCTION("""COMPUTED_VALUE"""),"Tools &amp; Tutorials")</f>
        <v>Tools &amp; Tutorials</v>
      </c>
      <c r="F627" s="19" t="str">
        <f>IFERROR(__xludf.DUMMYFUNCTION("""COMPUTED_VALUE"""),"Zeit im Griff - Holger Wöltje")</f>
        <v>Zeit im Griff - Holger Wöltje</v>
      </c>
      <c r="G627" s="20">
        <f>IFERROR(__xludf.DUMMYFUNCTION("""COMPUTED_VALUE"""),65.0)</f>
        <v>65</v>
      </c>
      <c r="H627" s="20">
        <f>IFERROR(__xludf.DUMMYFUNCTION("""COMPUTED_VALUE"""),21.0)</f>
        <v>21</v>
      </c>
      <c r="I627" s="21" t="str">
        <f>IFERROR(__xludf.DUMMYFUNCTION("""COMPUTED_VALUE"""),"English, German")</f>
        <v>English, German</v>
      </c>
      <c r="J627" s="21" t="str">
        <f>IFERROR(__xludf.DUMMYFUNCTION("""COMPUTED_VALUE"""),"English, German")</f>
        <v>English, German</v>
      </c>
      <c r="K627" s="22">
        <f>IFERROR(__xludf.DUMMYFUNCTION("""COMPUTED_VALUE"""),43997.0)</f>
        <v>43997</v>
      </c>
      <c r="L627" s="23" t="str">
        <f>IFERROR(__xludf.DUMMYFUNCTION("""COMPUTED_VALUE"""),"https://masterplan.com/courses/office365-outlook-advanced")</f>
        <v>https://masterplan.com/courses/office365-outlook-advanced</v>
      </c>
    </row>
    <row r="628">
      <c r="A628" s="6" t="str">
        <f>IFERROR(__xludf.DUMMYFUNCTION("""COMPUTED_VALUE"""),"Emotionale Intelligenz 2.0")</f>
        <v>Emotionale Intelligenz 2.0</v>
      </c>
      <c r="B628" s="7" t="str">
        <f>IFERROR(__xludf.DUMMYFUNCTION("""COMPUTED_VALUE"""),"Emotional Intelligence 2.0")</f>
        <v>Emotional Intelligence 2.0</v>
      </c>
      <c r="C628" s="8" t="str">
        <f>IFERROR(__xludf.DUMMYFUNCTION("""COMPUTED_VALUE"""),"Emotionale Intelligenz kann das sein, was uns in der Geschäftswelt ausmacht oder bremst. Diese Lektion zeigt auf, woraus emotionale Intelligenz besteht, und liefert Strategien zur Verbesserung der Fähigkeiten, die für den Erfolg durch ein höheres eQ erfor"&amp;"derlich sind.")</f>
        <v>Emotionale Intelligenz kann das sein, was uns in der Geschäftswelt ausmacht oder bremst. Diese Lektion zeigt auf, woraus emotionale Intelligenz besteht, und liefert Strategien zur Verbesserung der Fähigkeiten, die für den Erfolg durch ein höheres eQ erforderlich sind.</v>
      </c>
      <c r="D628" s="8" t="str">
        <f>IFERROR(__xludf.DUMMYFUNCTION("""COMPUTED_VALUE"""),"Emotional Intelligence can be what makes or brakes us in the business world. This lesson reveales what emotional intelligence is made of and provides strategies to improve upon the skills needed to succeed though a higher eQ.")</f>
        <v>Emotional Intelligence can be what makes or brakes us in the business world. This lesson reveales what emotional intelligence is made of and provides strategies to improve upon the skills needed to succeed though a higher eQ.</v>
      </c>
      <c r="E628" s="26" t="str">
        <f>IFERROR(__xludf.DUMMYFUNCTION("""COMPUTED_VALUE"""),"Collaboration and Leadership")</f>
        <v>Collaboration and Leadership</v>
      </c>
      <c r="F628" s="31" t="str">
        <f>IFERROR(__xludf.DUMMYFUNCTION("""COMPUTED_VALUE"""),"readitfor.me")</f>
        <v>readitfor.me</v>
      </c>
      <c r="G628" s="11">
        <f>IFERROR(__xludf.DUMMYFUNCTION("""COMPUTED_VALUE"""),7.0)</f>
        <v>7</v>
      </c>
      <c r="H628" s="11">
        <f>IFERROR(__xludf.DUMMYFUNCTION("""COMPUTED_VALUE"""),9.0)</f>
        <v>9</v>
      </c>
      <c r="I628" s="12" t="str">
        <f>IFERROR(__xludf.DUMMYFUNCTION("""COMPUTED_VALUE"""),"English, German")</f>
        <v>English, German</v>
      </c>
      <c r="J628" s="12" t="str">
        <f>IFERROR(__xludf.DUMMYFUNCTION("""COMPUTED_VALUE"""),"Text only")</f>
        <v>Text only</v>
      </c>
      <c r="K628" s="13">
        <f>IFERROR(__xludf.DUMMYFUNCTION("""COMPUTED_VALUE"""),43994.0)</f>
        <v>43994</v>
      </c>
      <c r="L628" s="14" t="str">
        <f>IFERROR(__xludf.DUMMYFUNCTION("""COMPUTED_VALUE"""),"https://masterplan.com/courses/emotional-intelligence")</f>
        <v>https://masterplan.com/courses/emotional-intelligence</v>
      </c>
    </row>
    <row r="629">
      <c r="A629" s="15" t="str">
        <f>IFERROR(__xludf.DUMMYFUNCTION("""COMPUTED_VALUE"""),"Office 365: Outlook Basics")</f>
        <v>Office 365: Outlook Basics</v>
      </c>
      <c r="B629" s="16" t="str">
        <f>IFERROR(__xludf.DUMMYFUNCTION("""COMPUTED_VALUE"""),"Office 365: Outlook Basics")</f>
        <v>Office 365: Outlook Basics</v>
      </c>
      <c r="C629" s="17" t="str">
        <f>IFERROR(__xludf.DUMMYFUNCTION("""COMPUTED_VALUE"""),"Outlook ist eines der beliebtesten und erfolgreichsten Werkzeuge, Arbeitsprozesse effizient zu gestalten. Es bietet dir eine Vielzahl von Möglichkeiten, von Terminplanung über E-Mail Organisation. Lerne, in Outlook zu navigieren und die wichtigsten Funkti"&amp;"onen zu meistern.")</f>
        <v>Outlook ist eines der beliebtesten und erfolgreichsten Werkzeuge, Arbeitsprozesse effizient zu gestalten. Es bietet dir eine Vielzahl von Möglichkeiten, von Terminplanung über E-Mail Organisation. Lerne, in Outlook zu navigieren und die wichtigsten Funktionen zu meistern.</v>
      </c>
      <c r="D629" s="17" t="str">
        <f>IFERROR(__xludf.DUMMYFUNCTION("""COMPUTED_VALUE"""),"Outlook is one of the most popular and successful tools to make work processes efficient. It offers you a variety of options, from scheduling to email organization. Learn to navigate in Outlook and master the most important functions.")</f>
        <v>Outlook is one of the most popular and successful tools to make work processes efficient. It offers you a variety of options, from scheduling to email organization. Learn to navigate in Outlook and master the most important functions.</v>
      </c>
      <c r="E629" s="27" t="str">
        <f>IFERROR(__xludf.DUMMYFUNCTION("""COMPUTED_VALUE"""),"Tools &amp; Tutorials")</f>
        <v>Tools &amp; Tutorials</v>
      </c>
      <c r="F629" s="19" t="str">
        <f>IFERROR(__xludf.DUMMYFUNCTION("""COMPUTED_VALUE"""),"Zeit im Griff - Holger Wöltje")</f>
        <v>Zeit im Griff - Holger Wöltje</v>
      </c>
      <c r="G629" s="20">
        <f>IFERROR(__xludf.DUMMYFUNCTION("""COMPUTED_VALUE"""),69.0)</f>
        <v>69</v>
      </c>
      <c r="H629" s="20">
        <f>IFERROR(__xludf.DUMMYFUNCTION("""COMPUTED_VALUE"""),27.0)</f>
        <v>27</v>
      </c>
      <c r="I629" s="21" t="str">
        <f>IFERROR(__xludf.DUMMYFUNCTION("""COMPUTED_VALUE"""),"English, German")</f>
        <v>English, German</v>
      </c>
      <c r="J629" s="21" t="str">
        <f>IFERROR(__xludf.DUMMYFUNCTION("""COMPUTED_VALUE"""),"English, German")</f>
        <v>English, German</v>
      </c>
      <c r="K629" s="22">
        <f>IFERROR(__xludf.DUMMYFUNCTION("""COMPUTED_VALUE"""),43994.0)</f>
        <v>43994</v>
      </c>
      <c r="L629" s="23" t="str">
        <f>IFERROR(__xludf.DUMMYFUNCTION("""COMPUTED_VALUE"""),"https://masterplan.com/courses/office365-outlook-basics")</f>
        <v>https://masterplan.com/courses/office365-outlook-basics</v>
      </c>
    </row>
    <row r="630">
      <c r="A630" s="6" t="str">
        <f>IFERROR(__xludf.DUMMYFUNCTION("""COMPUTED_VALUE"""),"Wie man Freunde gewinnt und Menschen beeinflusst")</f>
        <v>Wie man Freunde gewinnt und Menschen beeinflusst</v>
      </c>
      <c r="B630" s="7" t="str">
        <f>IFERROR(__xludf.DUMMYFUNCTION("""COMPUTED_VALUE"""),"How to win Friends and Influence People")</f>
        <v>How to win Friends and Influence People</v>
      </c>
      <c r="C630" s="8" t="str">
        <f>IFERROR(__xludf.DUMMYFUNCTION("""COMPUTED_VALUE"""),"Wie bekomme ich, was ich will? Finde heraus, wie Menschen beeinflusst werden können.")</f>
        <v>Wie bekomme ich, was ich will? Finde heraus, wie Menschen beeinflusst werden können.</v>
      </c>
      <c r="D630" s="8" t="str">
        <f>IFERROR(__xludf.DUMMYFUNCTION("""COMPUTED_VALUE"""),"How do I get what I want? Find out how to influence people in a way that benefits you.")</f>
        <v>How do I get what I want? Find out how to influence people in a way that benefits you.</v>
      </c>
      <c r="E630" s="26" t="str">
        <f>IFERROR(__xludf.DUMMYFUNCTION("""COMPUTED_VALUE"""),"Collaboration and Leadership")</f>
        <v>Collaboration and Leadership</v>
      </c>
      <c r="F630" s="31" t="str">
        <f>IFERROR(__xludf.DUMMYFUNCTION("""COMPUTED_VALUE"""),"readitfor.me")</f>
        <v>readitfor.me</v>
      </c>
      <c r="G630" s="11">
        <f>IFERROR(__xludf.DUMMYFUNCTION("""COMPUTED_VALUE"""),7.0)</f>
        <v>7</v>
      </c>
      <c r="H630" s="11">
        <f>IFERROR(__xludf.DUMMYFUNCTION("""COMPUTED_VALUE"""),3.0)</f>
        <v>3</v>
      </c>
      <c r="I630" s="12" t="str">
        <f>IFERROR(__xludf.DUMMYFUNCTION("""COMPUTED_VALUE"""),"English, German")</f>
        <v>English, German</v>
      </c>
      <c r="J630" s="12" t="str">
        <f>IFERROR(__xludf.DUMMYFUNCTION("""COMPUTED_VALUE"""),"Text only")</f>
        <v>Text only</v>
      </c>
      <c r="K630" s="13">
        <f>IFERROR(__xludf.DUMMYFUNCTION("""COMPUTED_VALUE"""),43993.0)</f>
        <v>43993</v>
      </c>
      <c r="L630" s="14" t="str">
        <f>IFERROR(__xludf.DUMMYFUNCTION("""COMPUTED_VALUE"""),"https://masterplan.com/courses/how-to-win-friends")</f>
        <v>https://masterplan.com/courses/how-to-win-friends</v>
      </c>
    </row>
    <row r="631">
      <c r="A631" s="15" t="str">
        <f>IFERROR(__xludf.DUMMYFUNCTION("""COMPUTED_VALUE"""),"Effektiv Arbeit delegieren")</f>
        <v>Effektiv Arbeit delegieren</v>
      </c>
      <c r="B631" s="16" t="str">
        <f>IFERROR(__xludf.DUMMYFUNCTION("""COMPUTED_VALUE"""),"Delegate Effectively")</f>
        <v>Delegate Effectively</v>
      </c>
      <c r="C631" s="17" t="str">
        <f>IFERROR(__xludf.DUMMYFUNCTION("""COMPUTED_VALUE"""),"Delegieren ist ein bekanntes Instrument, das kaum effektiv praktiziert und meist verschwendet wird. Lerne, auf eine Weise zu delegieren, die Effizienz steigert und es Deinem Team ermöglicht, neue Fähigkeiten zu erlernen und eine Kultur der Freiheit und Ve"&amp;"rantwortung zu schaffen.")</f>
        <v>Delegieren ist ein bekanntes Instrument, das kaum effektiv praktiziert und meist verschwendet wird. Lerne, auf eine Weise zu delegieren, die Effizienz steigert und es Deinem Team ermöglicht, neue Fähigkeiten zu erlernen und eine Kultur der Freiheit und Verantwortung zu schaffen.</v>
      </c>
      <c r="D631" s="17" t="str">
        <f>IFERROR(__xludf.DUMMYFUNCTION("""COMPUTED_VALUE"""),"Delegation is a well-known tool that is hardly practiced effectively and mostly goes to waste. Learn how to delegate in a way that elevates efficiency and allows your team to learn new skills, creating a culture of freedom and responsibility.")</f>
        <v>Delegation is a well-known tool that is hardly practiced effectively and mostly goes to waste. Learn how to delegate in a way that elevates efficiency and allows your team to learn new skills, creating a culture of freedom and responsibility.</v>
      </c>
      <c r="E631" s="24" t="str">
        <f>IFERROR(__xludf.DUMMYFUNCTION("""COMPUTED_VALUE"""),"Emotional Intelligence")</f>
        <v>Emotional Intelligence</v>
      </c>
      <c r="F631" s="19" t="str">
        <f>IFERROR(__xludf.DUMMYFUNCTION("""COMPUTED_VALUE"""),"BigThink - Richard Branson")</f>
        <v>BigThink - Richard Branson</v>
      </c>
      <c r="G631" s="20">
        <f>IFERROR(__xludf.DUMMYFUNCTION("""COMPUTED_VALUE"""),15.0)</f>
        <v>15</v>
      </c>
      <c r="H631" s="20">
        <f>IFERROR(__xludf.DUMMYFUNCTION("""COMPUTED_VALUE"""),18.0)</f>
        <v>18</v>
      </c>
      <c r="I631" s="21" t="str">
        <f>IFERROR(__xludf.DUMMYFUNCTION("""COMPUTED_VALUE"""),"English, German")</f>
        <v>English, German</v>
      </c>
      <c r="J631" s="21" t="str">
        <f>IFERROR(__xludf.DUMMYFUNCTION("""COMPUTED_VALUE"""),"English")</f>
        <v>English</v>
      </c>
      <c r="K631" s="22">
        <f>IFERROR(__xludf.DUMMYFUNCTION("""COMPUTED_VALUE"""),43973.0)</f>
        <v>43973</v>
      </c>
      <c r="L631" s="23" t="str">
        <f>IFERROR(__xludf.DUMMYFUNCTION("""COMPUTED_VALUE"""),"https://masterplan.com/courses/delegate-effectively")</f>
        <v>https://masterplan.com/courses/delegate-effectively</v>
      </c>
    </row>
    <row r="632">
      <c r="A632" s="6" t="str">
        <f>IFERROR(__xludf.DUMMYFUNCTION("""COMPUTED_VALUE"""),"Vom Fragen zum Verkaufen")</f>
        <v>Vom Fragen zum Verkaufen</v>
      </c>
      <c r="B632" s="7" t="str">
        <f>IFERROR(__xludf.DUMMYFUNCTION("""COMPUTED_VALUE"""),"Questions that Sell")</f>
        <v>Questions that Sell</v>
      </c>
      <c r="C632" s="8" t="str">
        <f>IFERROR(__xludf.DUMMYFUNCTION("""COMPUTED_VALUE"""),"In dieser Lektion lernst Du, wie Verkaufsgespräche effizienter gestaltet und weniger Zeit vergeudet werden kann,  indem Du das Sandler-Verkaufssystem implementierst und die richtigen Fragen zur richtigen Zeit stellst.")</f>
        <v>In dieser Lektion lernst Du, wie Verkaufsgespräche effizienter gestaltet und weniger Zeit vergeudet werden kann,  indem Du das Sandler-Verkaufssystem implementierst und die richtigen Fragen zur richtigen Zeit stellst.</v>
      </c>
      <c r="D632" s="8" t="str">
        <f>IFERROR(__xludf.DUMMYFUNCTION("""COMPUTED_VALUE"""),"With this lesson, you will learn how to be more efficient in your sales and stop wasting your time by absorbing the Sandler Selling Sytem and asking the right questions at the right time.")</f>
        <v>With this lesson, you will learn how to be more efficient in your sales and stop wasting your time by absorbing the Sandler Selling Sytem and asking the right questions at the right time.</v>
      </c>
      <c r="E632" s="9" t="str">
        <f>IFERROR(__xludf.DUMMYFUNCTION("""COMPUTED_VALUE"""),"Global Citizenship")</f>
        <v>Global Citizenship</v>
      </c>
      <c r="F632" s="31" t="str">
        <f>IFERROR(__xludf.DUMMYFUNCTION("""COMPUTED_VALUE"""),"readitfor.me")</f>
        <v>readitfor.me</v>
      </c>
      <c r="G632" s="11">
        <f>IFERROR(__xludf.DUMMYFUNCTION("""COMPUTED_VALUE"""),14.0)</f>
        <v>14</v>
      </c>
      <c r="H632" s="11">
        <f>IFERROR(__xludf.DUMMYFUNCTION("""COMPUTED_VALUE"""),4.0)</f>
        <v>4</v>
      </c>
      <c r="I632" s="12" t="str">
        <f>IFERROR(__xludf.DUMMYFUNCTION("""COMPUTED_VALUE"""),"English, German")</f>
        <v>English, German</v>
      </c>
      <c r="J632" s="12" t="str">
        <f>IFERROR(__xludf.DUMMYFUNCTION("""COMPUTED_VALUE"""),"Text only")</f>
        <v>Text only</v>
      </c>
      <c r="K632" s="13">
        <f>IFERROR(__xludf.DUMMYFUNCTION("""COMPUTED_VALUE"""),43971.0)</f>
        <v>43971</v>
      </c>
      <c r="L632" s="14" t="str">
        <f>IFERROR(__xludf.DUMMYFUNCTION("""COMPUTED_VALUE"""),"https://masterplan.com/courses/questions-that-sell")</f>
        <v>https://masterplan.com/courses/questions-that-sell</v>
      </c>
    </row>
    <row r="633">
      <c r="A633" s="15" t="str">
        <f>IFERROR(__xludf.DUMMYFUNCTION("""COMPUTED_VALUE"""),"Digitale Zwillinge: Lebende Problemlöser")</f>
        <v>Digitale Zwillinge: Lebende Problemlöser</v>
      </c>
      <c r="B633" s="16" t="str">
        <f>IFERROR(__xludf.DUMMYFUNCTION("""COMPUTED_VALUE"""),"Digital Twins: Living Problem-Solvers")</f>
        <v>Digital Twins: Living Problem-Solvers</v>
      </c>
      <c r="C633" s="17" t="str">
        <f>IFERROR(__xludf.DUMMYFUNCTION("""COMPUTED_VALUE"""),"Digital Twins - also ""digitale Zwillinge"" - verändern die Art und Weise, wie die Industrie arbeitet. Sie sind einer der Grundpfeiler der Industrie 4.0 - von mehr Kollaboration bis hin zu flexibler, präziser und kosteneffizienter Arbeit.")</f>
        <v>Digital Twins - also "digitale Zwillinge" - verändern die Art und Weise, wie die Industrie arbeitet. Sie sind einer der Grundpfeiler der Industrie 4.0 - von mehr Kollaboration bis hin zu flexibler, präziser und kosteneffizienter Arbeit.</v>
      </c>
      <c r="D633" s="17" t="str">
        <f>IFERROR(__xludf.DUMMYFUNCTION("""COMPUTED_VALUE"""),"Digital twins are changing the way industry works. They are one of the cornerstones of Industry 4.0 - from more collaboration to flexible, precise and cost-effective work.")</f>
        <v>Digital twins are changing the way industry works. They are one of the cornerstones of Industry 4.0 - from more collaboration to flexible, precise and cost-effective work.</v>
      </c>
      <c r="E633" s="25" t="str">
        <f>IFERROR(__xludf.DUMMYFUNCTION("""COMPUTED_VALUE"""),"Digital Literacy")</f>
        <v>Digital Literacy</v>
      </c>
      <c r="F633" s="19" t="str">
        <f>IFERROR(__xludf.DUMMYFUNCTION("""COMPUTED_VALUE"""),"Masterplan com GmbH - Timo Fürtsch")</f>
        <v>Masterplan com GmbH - Timo Fürtsch</v>
      </c>
      <c r="G633" s="20">
        <f>IFERROR(__xludf.DUMMYFUNCTION("""COMPUTED_VALUE"""),17.0)</f>
        <v>17</v>
      </c>
      <c r="H633" s="20">
        <f>IFERROR(__xludf.DUMMYFUNCTION("""COMPUTED_VALUE"""),15.0)</f>
        <v>15</v>
      </c>
      <c r="I633" s="21" t="str">
        <f>IFERROR(__xludf.DUMMYFUNCTION("""COMPUTED_VALUE"""),"English, German")</f>
        <v>English, German</v>
      </c>
      <c r="J633" s="21" t="str">
        <f>IFERROR(__xludf.DUMMYFUNCTION("""COMPUTED_VALUE"""),"German")</f>
        <v>German</v>
      </c>
      <c r="K633" s="22">
        <f>IFERROR(__xludf.DUMMYFUNCTION("""COMPUTED_VALUE"""),43957.0)</f>
        <v>43957</v>
      </c>
      <c r="L633" s="23" t="str">
        <f>IFERROR(__xludf.DUMMYFUNCTION("""COMPUTED_VALUE"""),"https://masterplan.com/courses/digital-twins")</f>
        <v>https://masterplan.com/courses/digital-twins</v>
      </c>
    </row>
    <row r="634">
      <c r="A634" s="6" t="str">
        <f>IFERROR(__xludf.DUMMYFUNCTION("""COMPUTED_VALUE"""),"New Work Experience")</f>
        <v>New Work Experience</v>
      </c>
      <c r="B634" s="7" t="str">
        <f>IFERROR(__xludf.DUMMYFUNCTION("""COMPUTED_VALUE"""),"New Work Experience")</f>
        <v>New Work Experience</v>
      </c>
      <c r="C634" s="8" t="str">
        <f>IFERROR(__xludf.DUMMYFUNCTION("""COMPUTED_VALUE"""),"New Work ist ein Begriff der uns umtreibt, aber kaum je genau gefasst wird. Die folgenden Sprecher sind Experten  des New Work und bringen mit ihren Thesen und Erfahrungen Licht in das Dunkel, das die Zukunft unserer Arbeit ist.")</f>
        <v>New Work ist ein Begriff der uns umtreibt, aber kaum je genau gefasst wird. Die folgenden Sprecher sind Experten  des New Work und bringen mit ihren Thesen und Erfahrungen Licht in das Dunkel, das die Zukunft unserer Arbeit ist.</v>
      </c>
      <c r="D634" s="8" t="str">
        <f>IFERROR(__xludf.DUMMYFUNCTION("""COMPUTED_VALUE"""),"New Work is a term that we are concerned with, but it is hardly ever defined precisely. The following speakers are experts in New Work and with their theses and experiences, they bring light into the darkness that is the future of our work.")</f>
        <v>New Work is a term that we are concerned with, but it is hardly ever defined precisely. The following speakers are experts in New Work and with their theses and experiences, they bring light into the darkness that is the future of our work.</v>
      </c>
      <c r="E634" s="26" t="str">
        <f>IFERROR(__xludf.DUMMYFUNCTION("""COMPUTED_VALUE"""),"Collaboration and Leadership")</f>
        <v>Collaboration and Leadership</v>
      </c>
      <c r="F634" s="10" t="str">
        <f>IFERROR(__xludf.DUMMYFUNCTION("""COMPUTED_VALUE"""),"New Work SE")</f>
        <v>New Work SE</v>
      </c>
      <c r="G634" s="11">
        <f>IFERROR(__xludf.DUMMYFUNCTION("""COMPUTED_VALUE"""),86.0)</f>
        <v>86</v>
      </c>
      <c r="H634" s="11">
        <f>IFERROR(__xludf.DUMMYFUNCTION("""COMPUTED_VALUE"""),3.0)</f>
        <v>3</v>
      </c>
      <c r="I634" s="12" t="str">
        <f>IFERROR(__xludf.DUMMYFUNCTION("""COMPUTED_VALUE"""),"German")</f>
        <v>German</v>
      </c>
      <c r="J634" s="12" t="str">
        <f>IFERROR(__xludf.DUMMYFUNCTION("""COMPUTED_VALUE"""),"German")</f>
        <v>German</v>
      </c>
      <c r="K634" s="13">
        <f>IFERROR(__xludf.DUMMYFUNCTION("""COMPUTED_VALUE"""),43955.0)</f>
        <v>43955</v>
      </c>
      <c r="L634" s="14" t="str">
        <f>IFERROR(__xludf.DUMMYFUNCTION("""COMPUTED_VALUE"""),"https://masterplan.com/courses/nwx")</f>
        <v>https://masterplan.com/courses/nwx</v>
      </c>
    </row>
    <row r="635">
      <c r="A635" s="15" t="str">
        <f>IFERROR(__xludf.DUMMYFUNCTION("""COMPUTED_VALUE"""),"Startups und Konzerne: Partnerschaften für Innovation")</f>
        <v>Startups und Konzerne: Partnerschaften für Innovation</v>
      </c>
      <c r="B635" s="16" t="str">
        <f>IFERROR(__xludf.DUMMYFUNCTION("""COMPUTED_VALUE"""),"Startups and Corporations: Partnerships for Success")</f>
        <v>Startups and Corporations: Partnerships for Success</v>
      </c>
      <c r="C635" s="17" t="str">
        <f>IFERROR(__xludf.DUMMYFUNCTION("""COMPUTED_VALUE"""),"Eine Zusammenarbeit zwischen etablierten Unternehmen und dynamischen Startups - wie kann das gelingen? Erfahre von Florian, was das Erfolgsgeheimnis von Startups ist und wie die beteiligten Unternehmen von der Zusammenarbeit profitieren können.")</f>
        <v>Eine Zusammenarbeit zwischen etablierten Unternehmen und dynamischen Startups - wie kann das gelingen? Erfahre von Florian, was das Erfolgsgeheimnis von Startups ist und wie die beteiligten Unternehmen von der Zusammenarbeit profitieren können.</v>
      </c>
      <c r="D635" s="17" t="str">
        <f>IFERROR(__xludf.DUMMYFUNCTION("""COMPUTED_VALUE"""),"A collaboration between established companies and dynamic startups - how can this be done? Find out from Florian what the secret of success for startups is and how the companies involved can benefit from the collaboration.")</f>
        <v>A collaboration between established companies and dynamic startups - how can this be done? Find out from Florian what the secret of success for startups is and how the companies involved can benefit from the collaboration.</v>
      </c>
      <c r="E635" s="18" t="str">
        <f>IFERROR(__xludf.DUMMYFUNCTION("""COMPUTED_VALUE"""),"Creativity and Innovation")</f>
        <v>Creativity and Innovation</v>
      </c>
      <c r="F635" s="19" t="str">
        <f>IFERROR(__xludf.DUMMYFUNCTION("""COMPUTED_VALUE"""),"Masterplan com GmbH - Florian Gschwandner")</f>
        <v>Masterplan com GmbH - Florian Gschwandner</v>
      </c>
      <c r="G635" s="20">
        <f>IFERROR(__xludf.DUMMYFUNCTION("""COMPUTED_VALUE"""),12.0)</f>
        <v>12</v>
      </c>
      <c r="H635" s="20">
        <f>IFERROR(__xludf.DUMMYFUNCTION("""COMPUTED_VALUE"""),12.0)</f>
        <v>12</v>
      </c>
      <c r="I635" s="21" t="str">
        <f>IFERROR(__xludf.DUMMYFUNCTION("""COMPUTED_VALUE"""),"English, German")</f>
        <v>English, German</v>
      </c>
      <c r="J635" s="21" t="str">
        <f>IFERROR(__xludf.DUMMYFUNCTION("""COMPUTED_VALUE"""),"German")</f>
        <v>German</v>
      </c>
      <c r="K635" s="22">
        <f>IFERROR(__xludf.DUMMYFUNCTION("""COMPUTED_VALUE"""),43950.0)</f>
        <v>43950</v>
      </c>
      <c r="L635" s="23" t="str">
        <f>IFERROR(__xludf.DUMMYFUNCTION("""COMPUTED_VALUE"""),"https://masterplan.com/courses/partnerschaften-zwischen-startups-und-konzernen")</f>
        <v>https://masterplan.com/courses/partnerschaften-zwischen-startups-und-konzernen</v>
      </c>
    </row>
    <row r="636">
      <c r="A636" s="6" t="str">
        <f>IFERROR(__xludf.DUMMYFUNCTION("""COMPUTED_VALUE"""),"Office 365: Teams Basics")</f>
        <v>Office 365: Teams Basics</v>
      </c>
      <c r="B636" s="7" t="str">
        <f>IFERROR(__xludf.DUMMYFUNCTION("""COMPUTED_VALUE"""),"Office 365: Teams Basics")</f>
        <v>Office 365: Teams Basics</v>
      </c>
      <c r="C636" s="8" t="str">
        <f>IFERROR(__xludf.DUMMYFUNCTION("""COMPUTED_VALUE"""),"Office Teams ist ein Kommunikations-Tool, das von in vielen Gruppen und Unternehmen gerne genutzt wird und eine weite Bandbreite an Funktionen bietet. Finde heraus, wie Du Teams effizient nutzen kannst und wie es die Kommunikation in deiner Gruppe verbess"&amp;"ern kann.")</f>
        <v>Office Teams ist ein Kommunikations-Tool, das von in vielen Gruppen und Unternehmen gerne genutzt wird und eine weite Bandbreite an Funktionen bietet. Finde heraus, wie Du Teams effizient nutzen kannst und wie es die Kommunikation in deiner Gruppe verbessern kann.</v>
      </c>
      <c r="D636" s="8" t="str">
        <f>IFERROR(__xludf.DUMMYFUNCTION("""COMPUTED_VALUE"""),"Office Teams is a communication tool that is used by many groups and companies and offers a wide range of functions. Find out how you can use Teams efficiently to improve communication within your organization.")</f>
        <v>Office Teams is a communication tool that is used by many groups and companies and offers a wide range of functions. Find out how you can use Teams efficiently to improve communication within your organization.</v>
      </c>
      <c r="E636" s="27" t="str">
        <f>IFERROR(__xludf.DUMMYFUNCTION("""COMPUTED_VALUE"""),"Tools &amp; Tutorials")</f>
        <v>Tools &amp; Tutorials</v>
      </c>
      <c r="F636" s="10" t="str">
        <f>IFERROR(__xludf.DUMMYFUNCTION("""COMPUTED_VALUE"""),"Zeit im Griff - Holger Wöltje")</f>
        <v>Zeit im Griff - Holger Wöltje</v>
      </c>
      <c r="G636" s="11">
        <f>IFERROR(__xludf.DUMMYFUNCTION("""COMPUTED_VALUE"""),44.0)</f>
        <v>44</v>
      </c>
      <c r="H636" s="11">
        <f>IFERROR(__xludf.DUMMYFUNCTION("""COMPUTED_VALUE"""),24.0)</f>
        <v>24</v>
      </c>
      <c r="I636" s="12" t="str">
        <f>IFERROR(__xludf.DUMMYFUNCTION("""COMPUTED_VALUE"""),"English, German")</f>
        <v>English, German</v>
      </c>
      <c r="J636" s="12" t="str">
        <f>IFERROR(__xludf.DUMMYFUNCTION("""COMPUTED_VALUE"""),"English, German")</f>
        <v>English, German</v>
      </c>
      <c r="K636" s="13">
        <f>IFERROR(__xludf.DUMMYFUNCTION("""COMPUTED_VALUE"""),43950.0)</f>
        <v>43950</v>
      </c>
      <c r="L636" s="14" t="str">
        <f>IFERROR(__xludf.DUMMYFUNCTION("""COMPUTED_VALUE"""),"https://masterplan.com/courses/office365-teams-basics")</f>
        <v>https://masterplan.com/courses/office365-teams-basics</v>
      </c>
    </row>
    <row r="637">
      <c r="A637" s="15" t="str">
        <f>IFERROR(__xludf.DUMMYFUNCTION("""COMPUTED_VALUE"""),"Office 365: OneNote Basics")</f>
        <v>Office 365: OneNote Basics</v>
      </c>
      <c r="B637" s="16" t="str">
        <f>IFERROR(__xludf.DUMMYFUNCTION("""COMPUTED_VALUE"""),"Office 365: OneNote Basics")</f>
        <v>Office 365: OneNote Basics</v>
      </c>
      <c r="C637" s="17" t="str">
        <f>IFERROR(__xludf.DUMMYFUNCTION("""COMPUTED_VALUE"""),"Tägliche Arbeit bedeutet, sich organisieren zu müssen. Du musst Pläne, Layouts, Ideen, Gedanken koordinieren. Mit OneNote hast Du das perfekte Werkzeug, um genau dies und mehr zu tun, indem Du seine effizienten und einfach zu bedienenden Funktionen nutzt.")</f>
        <v>Tägliche Arbeit bedeutet, sich organisieren zu müssen. Du musst Pläne, Layouts, Ideen, Gedanken koordinieren. Mit OneNote hast Du das perfekte Werkzeug, um genau dies und mehr zu tun, indem Du seine effizienten und einfach zu bedienenden Funktionen nutzt.</v>
      </c>
      <c r="D637" s="17" t="str">
        <f>IFERROR(__xludf.DUMMYFUNCTION("""COMPUTED_VALUE"""),"Work on a daily basis means organization. You will have to coordinate plans, layouts, ideas, thoughts... With OneNote, you have the perfect tool to do exactly that and more, using its efficient and easy to use features.")</f>
        <v>Work on a daily basis means organization. You will have to coordinate plans, layouts, ideas, thoughts... With OneNote, you have the perfect tool to do exactly that and more, using its efficient and easy to use features.</v>
      </c>
      <c r="E637" s="27" t="str">
        <f>IFERROR(__xludf.DUMMYFUNCTION("""COMPUTED_VALUE"""),"Tools &amp; Tutorials")</f>
        <v>Tools &amp; Tutorials</v>
      </c>
      <c r="F637" s="19" t="str">
        <f>IFERROR(__xludf.DUMMYFUNCTION("""COMPUTED_VALUE"""),"Zeit im Griff - Holger Wöltje")</f>
        <v>Zeit im Griff - Holger Wöltje</v>
      </c>
      <c r="G637" s="20">
        <f>IFERROR(__xludf.DUMMYFUNCTION("""COMPUTED_VALUE"""),68.0)</f>
        <v>68</v>
      </c>
      <c r="H637" s="20">
        <f>IFERROR(__xludf.DUMMYFUNCTION("""COMPUTED_VALUE"""),12.0)</f>
        <v>12</v>
      </c>
      <c r="I637" s="21" t="str">
        <f>IFERROR(__xludf.DUMMYFUNCTION("""COMPUTED_VALUE"""),"German")</f>
        <v>German</v>
      </c>
      <c r="J637" s="21" t="str">
        <f>IFERROR(__xludf.DUMMYFUNCTION("""COMPUTED_VALUE"""),"German")</f>
        <v>German</v>
      </c>
      <c r="K637" s="22">
        <f>IFERROR(__xludf.DUMMYFUNCTION("""COMPUTED_VALUE"""),43950.0)</f>
        <v>43950</v>
      </c>
      <c r="L637" s="23" t="str">
        <f>IFERROR(__xludf.DUMMYFUNCTION("""COMPUTED_VALUE"""),"https://masterplan.com/courses/office365-onenote-basics")</f>
        <v>https://masterplan.com/courses/office365-onenote-basics</v>
      </c>
    </row>
    <row r="638">
      <c r="A638" s="6" t="str">
        <f>IFERROR(__xludf.DUMMYFUNCTION("""COMPUTED_VALUE"""),"Slack in der Praxis")</f>
        <v>Slack in der Praxis</v>
      </c>
      <c r="B638" s="7" t="str">
        <f>IFERROR(__xludf.DUMMYFUNCTION("""COMPUTED_VALUE"""),"Slack in Practice")</f>
        <v>Slack in Practice</v>
      </c>
      <c r="C638" s="8" t="str">
        <f>IFERROR(__xludf.DUMMYFUNCTION("""COMPUTED_VALUE"""),"Wenn Du die Kommunikation in Deinem Unternehmen verbessern, die Kultur erneuern und Transparenz fördern möchtest, ist Slack Dein ideales Werkzeug. Lerne, wie Du ein Profi darin wirst, es zu benutzen und zu verbessern, indem Du tief in das Innenleben von S"&amp;"lack eintauchst.")</f>
        <v>Wenn Du die Kommunikation in Deinem Unternehmen verbessern, die Kultur erneuern und Transparenz fördern möchtest, ist Slack Dein ideales Werkzeug. Lerne, wie Du ein Profi darin wirst, es zu benutzen und zu verbessern, indem Du tief in das Innenleben von Slack eintauchst.</v>
      </c>
      <c r="D638" s="8" t="str">
        <f>IFERROR(__xludf.DUMMYFUNCTION("""COMPUTED_VALUE"""),"If you want to improve the communication in your company, renew your culture and accelerate transparency, Slack is your ideal tool. Learn how to become a pro at using and improving it by taking a deep dive into Slack's inner workings.")</f>
        <v>If you want to improve the communication in your company, renew your culture and accelerate transparency, Slack is your ideal tool. Learn how to become a pro at using and improving it by taking a deep dive into Slack's inner workings.</v>
      </c>
      <c r="E638" s="27" t="str">
        <f>IFERROR(__xludf.DUMMYFUNCTION("""COMPUTED_VALUE"""),"Tools &amp; Tutorials")</f>
        <v>Tools &amp; Tutorials</v>
      </c>
      <c r="F638" s="10" t="str">
        <f>IFERROR(__xludf.DUMMYFUNCTION("""COMPUTED_VALUE"""),"Blackboat - Christoph Magnussen")</f>
        <v>Blackboat - Christoph Magnussen</v>
      </c>
      <c r="G638" s="11">
        <f>IFERROR(__xludf.DUMMYFUNCTION("""COMPUTED_VALUE"""),21.0)</f>
        <v>21</v>
      </c>
      <c r="H638" s="11">
        <f>IFERROR(__xludf.DUMMYFUNCTION("""COMPUTED_VALUE"""),9.0)</f>
        <v>9</v>
      </c>
      <c r="I638" s="12" t="str">
        <f>IFERROR(__xludf.DUMMYFUNCTION("""COMPUTED_VALUE"""),"English, German")</f>
        <v>English, German</v>
      </c>
      <c r="J638" s="12" t="str">
        <f>IFERROR(__xludf.DUMMYFUNCTION("""COMPUTED_VALUE"""),"English")</f>
        <v>English</v>
      </c>
      <c r="K638" s="13">
        <f>IFERROR(__xludf.DUMMYFUNCTION("""COMPUTED_VALUE"""),43937.0)</f>
        <v>43937</v>
      </c>
      <c r="L638" s="14" t="str">
        <f>IFERROR(__xludf.DUMMYFUNCTION("""COMPUTED_VALUE"""),"https://masterplan.com/courses/slack-practise")</f>
        <v>https://masterplan.com/courses/slack-practise</v>
      </c>
    </row>
    <row r="639">
      <c r="A639" s="15" t="str">
        <f>IFERROR(__xludf.DUMMYFUNCTION("""COMPUTED_VALUE"""),"Strengthen your Emotional Agility")</f>
        <v>Strengthen your Emotional Agility</v>
      </c>
      <c r="B639" s="16" t="str">
        <f>IFERROR(__xludf.DUMMYFUNCTION("""COMPUTED_VALUE"""),"Strengthen your Emotional Agility")</f>
        <v>Strengthen your Emotional Agility</v>
      </c>
      <c r="C639" s="17" t="str">
        <f>IFERROR(__xludf.DUMMYFUNCTION("""COMPUTED_VALUE"""),"Emotionale Agilität ist ein Schlüsselwort, das eine Vielzahl von Strategien zur Verbesserung Ihrer Leistung umfasst, indem Sie Ihre Emotionen in den Griff bekommen und produktiv mit ihnen umgehen. Susan David ist eine Expertin, die erklärt, wie wir emotio"&amp;"nal agil werden.")</f>
        <v>Emotionale Agilität ist ein Schlüsselwort, das eine Vielzahl von Strategien zur Verbesserung Ihrer Leistung umfasst, indem Sie Ihre Emotionen in den Griff bekommen und produktiv mit ihnen umgehen. Susan David ist eine Expertin, die erklärt, wie wir emotional agil werden.</v>
      </c>
      <c r="D639" s="17" t="str">
        <f>IFERROR(__xludf.DUMMYFUNCTION("""COMPUTED_VALUE"""),"Emotional Agility is a keyword that incorporates a variety of strategies to enhance your performance by taking charge of your emotions and dealing with them in a productive way. Susan David is an expert who explains how we become emotionally agile.")</f>
        <v>Emotional Agility is a keyword that incorporates a variety of strategies to enhance your performance by taking charge of your emotions and dealing with them in a productive way. Susan David is an expert who explains how we become emotionally agile.</v>
      </c>
      <c r="E639" s="24" t="str">
        <f>IFERROR(__xludf.DUMMYFUNCTION("""COMPUTED_VALUE"""),"Emotional Intelligence")</f>
        <v>Emotional Intelligence</v>
      </c>
      <c r="F639" s="19" t="str">
        <f>IFERROR(__xludf.DUMMYFUNCTION("""COMPUTED_VALUE"""),"BigThink - Susan David")</f>
        <v>BigThink - Susan David</v>
      </c>
      <c r="G639" s="20">
        <f>IFERROR(__xludf.DUMMYFUNCTION("""COMPUTED_VALUE"""),48.0)</f>
        <v>48</v>
      </c>
      <c r="H639" s="20">
        <f>IFERROR(__xludf.DUMMYFUNCTION("""COMPUTED_VALUE"""),24.0)</f>
        <v>24</v>
      </c>
      <c r="I639" s="21" t="str">
        <f>IFERROR(__xludf.DUMMYFUNCTION("""COMPUTED_VALUE"""),"English, German")</f>
        <v>English, German</v>
      </c>
      <c r="J639" s="21" t="str">
        <f>IFERROR(__xludf.DUMMYFUNCTION("""COMPUTED_VALUE"""),"English")</f>
        <v>English</v>
      </c>
      <c r="K639" s="22">
        <f>IFERROR(__xludf.DUMMYFUNCTION("""COMPUTED_VALUE"""),43936.0)</f>
        <v>43936</v>
      </c>
      <c r="L639" s="23" t="str">
        <f>IFERROR(__xludf.DUMMYFUNCTION("""COMPUTED_VALUE"""),"https://masterplan.com/courses/emotional-agility")</f>
        <v>https://masterplan.com/courses/emotional-agility</v>
      </c>
    </row>
    <row r="640">
      <c r="A640" s="6" t="str">
        <f>IFERROR(__xludf.DUMMYFUNCTION("""COMPUTED_VALUE"""),"The Science of Receiving Feedback")</f>
        <v>The Science of Receiving Feedback</v>
      </c>
      <c r="B640" s="7" t="str">
        <f>IFERROR(__xludf.DUMMYFUNCTION("""COMPUTED_VALUE"""),"The Science of Receiving Feedback")</f>
        <v>The Science of Receiving Feedback</v>
      </c>
      <c r="C640" s="8" t="str">
        <f>IFERROR(__xludf.DUMMYFUNCTION("""COMPUTED_VALUE"""),"Wie wir Feedback geben und empfangen, ist von Mensch zu Mensch verschieden. Aber es gibt einen Weg, zu verstehen, warum wir uns so verhalten, wie wir es tun, und wie wir dieses Verhalten und unsere Kommunikation verbessern können.")</f>
        <v>Wie wir Feedback geben und empfangen, ist von Mensch zu Mensch verschieden. Aber es gibt einen Weg, zu verstehen, warum wir uns so verhalten, wie wir es tun, und wie wir dieses Verhalten und unsere Kommunikation verbessern können.</v>
      </c>
      <c r="D640" s="8" t="str">
        <f>IFERROR(__xludf.DUMMYFUNCTION("""COMPUTED_VALUE"""),"How we give and receive feedback differs from person to person. But there is a way to understand why we act towards feedback the way we do and how we can improve on that behavior.")</f>
        <v>How we give and receive feedback differs from person to person. But there is a way to understand why we act towards feedback the way we do and how we can improve on that behavior.</v>
      </c>
      <c r="E640" s="28" t="str">
        <f>IFERROR(__xludf.DUMMYFUNCTION("""COMPUTED_VALUE"""),"Communication")</f>
        <v>Communication</v>
      </c>
      <c r="F640" s="10" t="str">
        <f>IFERROR(__xludf.DUMMYFUNCTION("""COMPUTED_VALUE"""),"BigThink - Sheila Heen")</f>
        <v>BigThink - Sheila Heen</v>
      </c>
      <c r="G640" s="11">
        <f>IFERROR(__xludf.DUMMYFUNCTION("""COMPUTED_VALUE"""),39.0)</f>
        <v>39</v>
      </c>
      <c r="H640" s="11">
        <f>IFERROR(__xludf.DUMMYFUNCTION("""COMPUTED_VALUE"""),23.0)</f>
        <v>23</v>
      </c>
      <c r="I640" s="12" t="str">
        <f>IFERROR(__xludf.DUMMYFUNCTION("""COMPUTED_VALUE"""),"English, German")</f>
        <v>English, German</v>
      </c>
      <c r="J640" s="12" t="str">
        <f>IFERROR(__xludf.DUMMYFUNCTION("""COMPUTED_VALUE"""),"English")</f>
        <v>English</v>
      </c>
      <c r="K640" s="13">
        <f>IFERROR(__xludf.DUMMYFUNCTION("""COMPUTED_VALUE"""),43931.0)</f>
        <v>43931</v>
      </c>
      <c r="L640" s="14" t="str">
        <f>IFERROR(__xludf.DUMMYFUNCTION("""COMPUTED_VALUE"""),"https://masterplan.com/courses/receiving-feedback")</f>
        <v>https://masterplan.com/courses/receiving-feedback</v>
      </c>
    </row>
    <row r="641">
      <c r="A641" s="15" t="str">
        <f>IFERROR(__xludf.DUMMYFUNCTION("""COMPUTED_VALUE"""),"Design neu Denken: Grundlagen guter Gestaltung")</f>
        <v>Design neu Denken: Grundlagen guter Gestaltung</v>
      </c>
      <c r="B641" s="16" t="str">
        <f>IFERROR(__xludf.DUMMYFUNCTION("""COMPUTED_VALUE"""),"Disrupting with Design: Fundamentals of Realizing Ideas")</f>
        <v>Disrupting with Design: Fundamentals of Realizing Ideas</v>
      </c>
      <c r="C641" s="17" t="str">
        <f>IFERROR(__xludf.DUMMYFUNCTION("""COMPUTED_VALUE"""),"Design hat in der heutigen Wirtschaft eine neue Bedeutung gewonnen. Innovatoren verlassen sich mehr und mehr auf Design, um ihre Ideen zum Leben zu erwecken. Und in diesem Prozess wird das Design selbst zum Motor der Innovation und steht vor neuen Möglich"&amp;"keiten, Kämpfen und Verantwortlichkeiten.")</f>
        <v>Design hat in der heutigen Wirtschaft eine neue Bedeutung gewonnen. Innovatoren verlassen sich mehr und mehr auf Design, um ihre Ideen zum Leben zu erwecken. Und in diesem Prozess wird das Design selbst zum Motor der Innovation und steht vor neuen Möglichkeiten, Kämpfen und Verantwortlichkeiten.</v>
      </c>
      <c r="D641" s="17" t="str">
        <f>IFERROR(__xludf.DUMMYFUNCTION("""COMPUTED_VALUE"""),"Design has gained new meaning in today's economy. Innovators rely more and more on Design to make their ideas come to life. And, in that process, Design becomes the driver of innovation itself, facing new possibilities, struggles, and responsibilities.")</f>
        <v>Design has gained new meaning in today's economy. Innovators rely more and more on Design to make their ideas come to life. And, in that process, Design becomes the driver of innovation itself, facing new possibilities, struggles, and responsibilities.</v>
      </c>
      <c r="E641" s="18" t="str">
        <f>IFERROR(__xludf.DUMMYFUNCTION("""COMPUTED_VALUE"""),"Creativity and Innovation")</f>
        <v>Creativity and Innovation</v>
      </c>
      <c r="F641" s="19" t="str">
        <f>IFERROR(__xludf.DUMMYFUNCTION("""COMPUTED_VALUE"""),"InVision")</f>
        <v>InVision</v>
      </c>
      <c r="G641" s="20">
        <f>IFERROR(__xludf.DUMMYFUNCTION("""COMPUTED_VALUE"""),63.0)</f>
        <v>63</v>
      </c>
      <c r="H641" s="20">
        <f>IFERROR(__xludf.DUMMYFUNCTION("""COMPUTED_VALUE"""),22.0)</f>
        <v>22</v>
      </c>
      <c r="I641" s="21" t="str">
        <f>IFERROR(__xludf.DUMMYFUNCTION("""COMPUTED_VALUE"""),"English, German")</f>
        <v>English, German</v>
      </c>
      <c r="J641" s="21" t="str">
        <f>IFERROR(__xludf.DUMMYFUNCTION("""COMPUTED_VALUE"""),"English")</f>
        <v>English</v>
      </c>
      <c r="K641" s="22">
        <f>IFERROR(__xludf.DUMMYFUNCTION("""COMPUTED_VALUE"""),43924.0)</f>
        <v>43924</v>
      </c>
      <c r="L641" s="23" t="str">
        <f>IFERROR(__xludf.DUMMYFUNCTION("""COMPUTED_VALUE"""),"https://masterplan.com/courses/design-disruptors")</f>
        <v>https://masterplan.com/courses/design-disruptors</v>
      </c>
    </row>
    <row r="642">
      <c r="A642" s="6" t="str">
        <f>IFERROR(__xludf.DUMMYFUNCTION("""COMPUTED_VALUE"""),"Erfolgreiche Teams bilden und leiten")</f>
        <v>Erfolgreiche Teams bilden und leiten</v>
      </c>
      <c r="B642" s="7" t="str">
        <f>IFERROR(__xludf.DUMMYFUNCTION("""COMPUTED_VALUE"""),"The Art of Influencing Others")</f>
        <v>The Art of Influencing Others</v>
      </c>
      <c r="C642" s="8" t="str">
        <f>IFERROR(__xludf.DUMMYFUNCTION("""COMPUTED_VALUE"""),"Unsere Natur ist es, in Gemeinschaft zu leben und zu arbeiten. Das bedeutet, dass wir ein komplexes Beziehungsnetz aushandeln und gleichzeitig immer komplexere Herausforderungen in einem sich schnell verändernden Markt bewältigen müssen.")</f>
        <v>Unsere Natur ist es, in Gemeinschaft zu leben und zu arbeiten. Das bedeutet, dass wir ein komplexes Beziehungsnetz aushandeln und gleichzeitig immer komplexere Herausforderungen in einem sich schnell verändernden Markt bewältigen müssen.</v>
      </c>
      <c r="D642" s="8" t="str">
        <f>IFERROR(__xludf.DUMMYFUNCTION("""COMPUTED_VALUE"""),"We are creatures whose nature is to live and work in community. This means negotiating a complex network of relationships while managing increasingly complex challenges within a fast-changing marketplace.")</f>
        <v>We are creatures whose nature is to live and work in community. This means negotiating a complex network of relationships while managing increasingly complex challenges within a fast-changing marketplace.</v>
      </c>
      <c r="E642" s="26" t="str">
        <f>IFERROR(__xludf.DUMMYFUNCTION("""COMPUTED_VALUE"""),"Collaboration and Leadership")</f>
        <v>Collaboration and Leadership</v>
      </c>
      <c r="F642" s="10" t="str">
        <f>IFERROR(__xludf.DUMMYFUNCTION("""COMPUTED_VALUE"""),"BigThink - Linda Hill")</f>
        <v>BigThink - Linda Hill</v>
      </c>
      <c r="G642" s="11">
        <f>IFERROR(__xludf.DUMMYFUNCTION("""COMPUTED_VALUE"""),32.0)</f>
        <v>32</v>
      </c>
      <c r="H642" s="11">
        <f>IFERROR(__xludf.DUMMYFUNCTION("""COMPUTED_VALUE"""),21.0)</f>
        <v>21</v>
      </c>
      <c r="I642" s="12" t="str">
        <f>IFERROR(__xludf.DUMMYFUNCTION("""COMPUTED_VALUE"""),"English, German")</f>
        <v>English, German</v>
      </c>
      <c r="J642" s="12" t="str">
        <f>IFERROR(__xludf.DUMMYFUNCTION("""COMPUTED_VALUE"""),"English")</f>
        <v>English</v>
      </c>
      <c r="K642" s="13">
        <f>IFERROR(__xludf.DUMMYFUNCTION("""COMPUTED_VALUE"""),43922.0)</f>
        <v>43922</v>
      </c>
      <c r="L642" s="14" t="str">
        <f>IFERROR(__xludf.DUMMYFUNCTION("""COMPUTED_VALUE"""),"https://masterplan.com/courses/influencing-others")</f>
        <v>https://masterplan.com/courses/influencing-others</v>
      </c>
    </row>
    <row r="643">
      <c r="A643" s="15" t="str">
        <f>IFERROR(__xludf.DUMMYFUNCTION("""COMPUTED_VALUE"""),"Design Thinking: Die Formel für Kreativität")</f>
        <v>Design Thinking: Die Formel für Kreativität</v>
      </c>
      <c r="B643" s="16" t="str">
        <f>IFERROR(__xludf.DUMMYFUNCTION("""COMPUTED_VALUE"""),"Design Thinking: The Formula to Creativity")</f>
        <v>Design Thinking: The Formula to Creativity</v>
      </c>
      <c r="C643" s="17" t="str">
        <f>IFERROR(__xludf.DUMMYFUNCTION("""COMPUTED_VALUE"""),"Da das Leben zunehmend automatisiert wird, sehnen sich die Menschen nach menschlichen Verbindungen. Erfolgreiche Unternehmen und Marken werden in den kommenden Jahrzehnten diejenigen sein, die eine kleinere, persönlichere Erfahrung der Welt bieten.")</f>
        <v>Da das Leben zunehmend automatisiert wird, sehnen sich die Menschen nach menschlichen Verbindungen. Erfolgreiche Unternehmen und Marken werden in den kommenden Jahrzehnten diejenigen sein, die eine kleinere, persönlichere Erfahrung der Welt bieten.</v>
      </c>
      <c r="D643" s="17" t="str">
        <f>IFERROR(__xludf.DUMMYFUNCTION("""COMPUTED_VALUE"""),"As life becomes increasingly automated, people crave human connection. Successful businesses and brands, in the coming decades, will be those that provide a smaller, more personalized experience of the world.")</f>
        <v>As life becomes increasingly automated, people crave human connection. Successful businesses and brands, in the coming decades, will be those that provide a smaller, more personalized experience of the world.</v>
      </c>
      <c r="E643" s="18" t="str">
        <f>IFERROR(__xludf.DUMMYFUNCTION("""COMPUTED_VALUE"""),"Creativity and Innovation")</f>
        <v>Creativity and Innovation</v>
      </c>
      <c r="F643" s="19" t="str">
        <f>IFERROR(__xludf.DUMMYFUNCTION("""COMPUTED_VALUE"""),"BigThink - Tim Brown")</f>
        <v>BigThink - Tim Brown</v>
      </c>
      <c r="G643" s="20">
        <f>IFERROR(__xludf.DUMMYFUNCTION("""COMPUTED_VALUE"""),27.0)</f>
        <v>27</v>
      </c>
      <c r="H643" s="20">
        <f>IFERROR(__xludf.DUMMYFUNCTION("""COMPUTED_VALUE"""),19.0)</f>
        <v>19</v>
      </c>
      <c r="I643" s="21" t="str">
        <f>IFERROR(__xludf.DUMMYFUNCTION("""COMPUTED_VALUE"""),"English, German")</f>
        <v>English, German</v>
      </c>
      <c r="J643" s="21" t="str">
        <f>IFERROR(__xludf.DUMMYFUNCTION("""COMPUTED_VALUE"""),"English")</f>
        <v>English</v>
      </c>
      <c r="K643" s="22">
        <f>IFERROR(__xludf.DUMMYFUNCTION("""COMPUTED_VALUE"""),43920.0)</f>
        <v>43920</v>
      </c>
      <c r="L643" s="23" t="str">
        <f>IFERROR(__xludf.DUMMYFUNCTION("""COMPUTED_VALUE"""),"https://masterplan.com/courses/use-design-thinking")</f>
        <v>https://masterplan.com/courses/use-design-thinking</v>
      </c>
    </row>
    <row r="644">
      <c r="A644" s="6" t="str">
        <f>IFERROR(__xludf.DUMMYFUNCTION("""COMPUTED_VALUE"""),"Effektiv kommunizieren in virtuellen Teams")</f>
        <v>Effektiv kommunizieren in virtuellen Teams</v>
      </c>
      <c r="B644" s="7" t="str">
        <f>IFERROR(__xludf.DUMMYFUNCTION("""COMPUTED_VALUE"""),"Remote Work: Communication
")</f>
        <v>Remote Work: Communication
</v>
      </c>
      <c r="C644" s="8" t="str">
        <f>IFERROR(__xludf.DUMMYFUNCTION("""COMPUTED_VALUE"""),"Plötzlich sehen sich viele Unternehmen mit Remote Work konfrontiert. Dies kann schnell zu Fehlkommunikation und Missverständnissen führen. Deshalb gibt dir Kate wertvolle Tipps für die Strukturierung deiner firmeninternen Kommunikation, während du von zu "&amp;"Hause aus arbeitest.")</f>
        <v>Plötzlich sehen sich viele Unternehmen mit Remote Work konfrontiert. Dies kann schnell zu Fehlkommunikation und Missverständnissen führen. Deshalb gibt dir Kate wertvolle Tipps für die Strukturierung deiner firmeninternen Kommunikation, während du von zu Hause aus arbeitest.</v>
      </c>
      <c r="D644" s="8" t="str">
        <f>IFERROR(__xludf.DUMMYFUNCTION("""COMPUTED_VALUE"""),"All of a sudden, many companies are confronted with remote work. This could quickly lead to miscommunication and misunderstandings. Kate gives valuable tips for structuring your company's internal communication while working from home.")</f>
        <v>All of a sudden, many companies are confronted with remote work. This could quickly lead to miscommunication and misunderstandings. Kate gives valuable tips for structuring your company's internal communication while working from home.</v>
      </c>
      <c r="E644" s="28" t="str">
        <f>IFERROR(__xludf.DUMMYFUNCTION("""COMPUTED_VALUE"""),"Communication")</f>
        <v>Communication</v>
      </c>
      <c r="F644" s="10" t="str">
        <f>IFERROR(__xludf.DUMMYFUNCTION("""COMPUTED_VALUE"""),"Masterplan com GmbH - Kate Scisel")</f>
        <v>Masterplan com GmbH - Kate Scisel</v>
      </c>
      <c r="G644" s="11">
        <f>IFERROR(__xludf.DUMMYFUNCTION("""COMPUTED_VALUE"""),16.0)</f>
        <v>16</v>
      </c>
      <c r="H644" s="11">
        <f>IFERROR(__xludf.DUMMYFUNCTION("""COMPUTED_VALUE"""),18.0)</f>
        <v>18</v>
      </c>
      <c r="I644" s="12" t="str">
        <f>IFERROR(__xludf.DUMMYFUNCTION("""COMPUTED_VALUE"""),"English, German")</f>
        <v>English, German</v>
      </c>
      <c r="J644" s="12" t="str">
        <f>IFERROR(__xludf.DUMMYFUNCTION("""COMPUTED_VALUE"""),"English, German")</f>
        <v>English, German</v>
      </c>
      <c r="K644" s="13">
        <f>IFERROR(__xludf.DUMMYFUNCTION("""COMPUTED_VALUE"""),43914.0)</f>
        <v>43914</v>
      </c>
      <c r="L644" s="14" t="str">
        <f>IFERROR(__xludf.DUMMYFUNCTION("""COMPUTED_VALUE"""),"https://masterplan.com/courses/remote-work-kommunikation")</f>
        <v>https://masterplan.com/courses/remote-work-kommunikation</v>
      </c>
    </row>
    <row r="645">
      <c r="A645" s="15" t="str">
        <f>IFERROR(__xludf.DUMMYFUNCTION("""COMPUTED_VALUE"""),"Intelligente Teamarbeit")</f>
        <v>Intelligente Teamarbeit</v>
      </c>
      <c r="B645" s="16" t="str">
        <f>IFERROR(__xludf.DUMMYFUNCTION("""COMPUTED_VALUE"""),"Intelligent Teamwork")</f>
        <v>Intelligent Teamwork</v>
      </c>
      <c r="C645" s="17" t="str">
        <f>IFERROR(__xludf.DUMMYFUNCTION("""COMPUTED_VALUE"""),"Auf dem komplexen Arbeitsmarkt reicht Intelligenz allein nicht aus. Führende Unternehmen nutzen ihr menschliches Potenzial durch kollaborative, kreative Problemlösungen. Doch für viele von uns ist das ""Mind-Sharing"" mit denen, die anders denken als wir,"&amp;" eine ernsthafte Herausforderung.")</f>
        <v>Auf dem komplexen Arbeitsmarkt reicht Intelligenz allein nicht aus. Führende Unternehmen nutzen ihr menschliches Potenzial durch kollaborative, kreative Problemlösungen. Doch für viele von uns ist das "Mind-Sharing" mit denen, die anders denken als wir, eine ernsthafte Herausforderung.</v>
      </c>
      <c r="D645" s="17" t="str">
        <f>IFERROR(__xludf.DUMMYFUNCTION("""COMPUTED_VALUE"""),"In a complex marketplace, just intelligence isn’t enough. Leading companies harness their human potential through collaborative, creative problem solving. Yet for many of us, “mind-sharing” with those who think differently from us is a serious challenge.")</f>
        <v>In a complex marketplace, just intelligence isn’t enough. Leading companies harness their human potential through collaborative, creative problem solving. Yet for many of us, “mind-sharing” with those who think differently from us is a serious challenge.</v>
      </c>
      <c r="E645" s="24" t="str">
        <f>IFERROR(__xludf.DUMMYFUNCTION("""COMPUTED_VALUE"""),"Emotional Intelligence")</f>
        <v>Emotional Intelligence</v>
      </c>
      <c r="F645" s="19" t="str">
        <f>IFERROR(__xludf.DUMMYFUNCTION("""COMPUTED_VALUE"""),"BigThink - Angy McArthur")</f>
        <v>BigThink - Angy McArthur</v>
      </c>
      <c r="G645" s="20">
        <f>IFERROR(__xludf.DUMMYFUNCTION("""COMPUTED_VALUE"""),24.0)</f>
        <v>24</v>
      </c>
      <c r="H645" s="20">
        <f>IFERROR(__xludf.DUMMYFUNCTION("""COMPUTED_VALUE"""),10.0)</f>
        <v>10</v>
      </c>
      <c r="I645" s="21" t="str">
        <f>IFERROR(__xludf.DUMMYFUNCTION("""COMPUTED_VALUE"""),"English, German")</f>
        <v>English, German</v>
      </c>
      <c r="J645" s="21" t="str">
        <f>IFERROR(__xludf.DUMMYFUNCTION("""COMPUTED_VALUE"""),"English")</f>
        <v>English</v>
      </c>
      <c r="K645" s="22">
        <f>IFERROR(__xludf.DUMMYFUNCTION("""COMPUTED_VALUE"""),43913.0)</f>
        <v>43913</v>
      </c>
      <c r="L645" s="23" t="str">
        <f>IFERROR(__xludf.DUMMYFUNCTION("""COMPUTED_VALUE"""),"https://masterplan.com/courses/collaborate-intelligently")</f>
        <v>https://masterplan.com/courses/collaborate-intelligently</v>
      </c>
    </row>
    <row r="646">
      <c r="A646" s="6" t="str">
        <f>IFERROR(__xludf.DUMMYFUNCTION("""COMPUTED_VALUE"""),"Neu im Homeoffice")</f>
        <v>Neu im Homeoffice</v>
      </c>
      <c r="B646" s="7" t="str">
        <f>IFERROR(__xludf.DUMMYFUNCTION("""COMPUTED_VALUE"""),"Working from Home - Beginners Guide")</f>
        <v>Working from Home - Beginners Guide</v>
      </c>
      <c r="C646" s="8" t="str">
        <f>IFERROR(__xludf.DUMMYFUNCTION("""COMPUTED_VALUE"""),"Das Coronavirus hat innerhalb kürzester Zeit unseren Alltag auf den Kopf gestellt. Viele Arbeitgeber reagieren, indem sie ihre Mitarbeiter ins Homeoffice schicken. Wir geben dir in diesem Kurs wertvolle Tipps, damit du auch im Homeoffice konzentriert und "&amp;"effektiv arbeiten kannst.")</f>
        <v>Das Coronavirus hat innerhalb kürzester Zeit unseren Alltag auf den Kopf gestellt. Viele Arbeitgeber reagieren, indem sie ihre Mitarbeiter ins Homeoffice schicken. Wir geben dir in diesem Kurs wertvolle Tipps, damit du auch im Homeoffice konzentriert und effektiv arbeiten kannst.</v>
      </c>
      <c r="D646" s="8" t="str">
        <f>IFERROR(__xludf.DUMMYFUNCTION("""COMPUTED_VALUE"""),"Coronavirus has turned our everyday life upside down in a very short period of time. Many employers reacted by sending their employees to home office. In this course, we will give you useful tips so that your home office work can be focused and effective.")</f>
        <v>Coronavirus has turned our everyday life upside down in a very short period of time. Many employers reacted by sending their employees to home office. In this course, we will give you useful tips so that your home office work can be focused and effective.</v>
      </c>
      <c r="E646" s="24" t="str">
        <f>IFERROR(__xludf.DUMMYFUNCTION("""COMPUTED_VALUE"""),"Emotional Intelligence")</f>
        <v>Emotional Intelligence</v>
      </c>
      <c r="F646" s="10" t="str">
        <f>IFERROR(__xludf.DUMMYFUNCTION("""COMPUTED_VALUE"""),"Masterplan com GmbH")</f>
        <v>Masterplan com GmbH</v>
      </c>
      <c r="G646" s="11">
        <f>IFERROR(__xludf.DUMMYFUNCTION("""COMPUTED_VALUE"""),16.0)</f>
        <v>16</v>
      </c>
      <c r="H646" s="11">
        <f>IFERROR(__xludf.DUMMYFUNCTION("""COMPUTED_VALUE"""),16.0)</f>
        <v>16</v>
      </c>
      <c r="I646" s="12" t="str">
        <f>IFERROR(__xludf.DUMMYFUNCTION("""COMPUTED_VALUE"""),"English, German")</f>
        <v>English, German</v>
      </c>
      <c r="J646" s="12" t="str">
        <f>IFERROR(__xludf.DUMMYFUNCTION("""COMPUTED_VALUE"""),"Text only")</f>
        <v>Text only</v>
      </c>
      <c r="K646" s="13">
        <f>IFERROR(__xludf.DUMMYFUNCTION("""COMPUTED_VALUE"""),43910.0)</f>
        <v>43910</v>
      </c>
      <c r="L646" s="14" t="str">
        <f>IFERROR(__xludf.DUMMYFUNCTION("""COMPUTED_VALUE"""),"https://masterplan.com/courses/neu-im-homeoffice")</f>
        <v>https://masterplan.com/courses/neu-im-homeoffice</v>
      </c>
    </row>
    <row r="647">
      <c r="A647" s="15" t="str">
        <f>IFERROR(__xludf.DUMMYFUNCTION("""COMPUTED_VALUE"""),"Space for Progress: Fortschritt durch Raumfahrt")</f>
        <v>Space for Progress: Fortschritt durch Raumfahrt</v>
      </c>
      <c r="B647" s="16" t="str">
        <f>IFERROR(__xludf.DUMMYFUNCTION("""COMPUTED_VALUE"""),"It's Rocket Science: Space Travel and Human Progress")</f>
        <v>It's Rocket Science: Space Travel and Human Progress</v>
      </c>
      <c r="C647" s="17" t="str">
        <f>IFERROR(__xludf.DUMMYFUNCTION("""COMPUTED_VALUE"""),"2020 markiert den Beginn des Weltraumtourismus. Stationen auf dem Mond und dem Mars werden geplant. Die Raumfahrt ist ein unheimlich spannendes Feld. Sie fungiert seit Jahrzehnten als Innovations-Treiber und zeigt wie internationale Zusammenarbeit funktio"&amp;"nieren kann.")</f>
        <v>2020 markiert den Beginn des Weltraumtourismus. Stationen auf dem Mond und dem Mars werden geplant. Die Raumfahrt ist ein unheimlich spannendes Feld. Sie fungiert seit Jahrzehnten als Innovations-Treiber und zeigt wie internationale Zusammenarbeit funktionieren kann.</v>
      </c>
      <c r="D647" s="17" t="str">
        <f>IFERROR(__xludf.DUMMYFUNCTION("""COMPUTED_VALUE"""),"2020 marks the beginning of space tourism. Stations on the Moon and Mars are being planned. Space travel is an incredibly exciting field. It has been a driver of innovation for decades and shows how international cooperation can work.")</f>
        <v>2020 marks the beginning of space tourism. Stations on the Moon and Mars are being planned. Space travel is an incredibly exciting field. It has been a driver of innovation for decades and shows how international cooperation can work.</v>
      </c>
      <c r="E647" s="25" t="str">
        <f>IFERROR(__xludf.DUMMYFUNCTION("""COMPUTED_VALUE"""),"Digital Literacy")</f>
        <v>Digital Literacy</v>
      </c>
      <c r="F647" s="19" t="str">
        <f>IFERROR(__xludf.DUMMYFUNCTION("""COMPUTED_VALUE"""),"Masterplan com GmbH - Claudia Kessler")</f>
        <v>Masterplan com GmbH - Claudia Kessler</v>
      </c>
      <c r="G647" s="20">
        <f>IFERROR(__xludf.DUMMYFUNCTION("""COMPUTED_VALUE"""),24.0)</f>
        <v>24</v>
      </c>
      <c r="H647" s="20">
        <f>IFERROR(__xludf.DUMMYFUNCTION("""COMPUTED_VALUE"""),15.0)</f>
        <v>15</v>
      </c>
      <c r="I647" s="21" t="str">
        <f>IFERROR(__xludf.DUMMYFUNCTION("""COMPUTED_VALUE"""),"English, German")</f>
        <v>English, German</v>
      </c>
      <c r="J647" s="21" t="str">
        <f>IFERROR(__xludf.DUMMYFUNCTION("""COMPUTED_VALUE"""),"German")</f>
        <v>German</v>
      </c>
      <c r="K647" s="22">
        <f>IFERROR(__xludf.DUMMYFUNCTION("""COMPUTED_VALUE"""),43906.0)</f>
        <v>43906</v>
      </c>
      <c r="L647" s="23" t="str">
        <f>IFERROR(__xludf.DUMMYFUNCTION("""COMPUTED_VALUE"""),"https://masterplan.com/courses/raumfahrt")</f>
        <v>https://masterplan.com/courses/raumfahrt</v>
      </c>
    </row>
    <row r="648">
      <c r="A648" s="6" t="str">
        <f>IFERROR(__xludf.DUMMYFUNCTION("""COMPUTED_VALUE"""),"Hinterland of Things '20")</f>
        <v>Hinterland of Things '20</v>
      </c>
      <c r="B648" s="7" t="str">
        <f>IFERROR(__xludf.DUMMYFUNCTION("""COMPUTED_VALUE"""),"Hinterland of Things '20")</f>
        <v>Hinterland of Things '20</v>
      </c>
      <c r="C648" s="8" t="str">
        <f>IFERROR(__xludf.DUMMYFUNCTION("""COMPUTED_VALUE"""),"Auf der Konferenz ""Hinterland der Dinge"" kommen die klügsten Köpfe des IoT und des Unternehmertums zusammen, um die digitale Zukunft der deutschen Industrie neu zu schreiben. Themen von Mobilität über Nachhaltigkeit bis hin zu Kunden-Marketing werden be"&amp;"sprochen.")</f>
        <v>Auf der Konferenz "Hinterland der Dinge" kommen die klügsten Köpfe des IoT und des Unternehmertums zusammen, um die digitale Zukunft der deutschen Industrie neu zu schreiben. Themen von Mobilität über Nachhaltigkeit bis hin zu Kunden-Marketing werden besprochen.</v>
      </c>
      <c r="D648" s="8" t="str">
        <f>IFERROR(__xludf.DUMMYFUNCTION("""COMPUTED_VALUE"""),"At the Hinterland of Things Conference, the smartest minds in IoT and entrepreneurship come together to rewrite the digital future of the German industry.")</f>
        <v>At the Hinterland of Things Conference, the smartest minds in IoT and entrepreneurship come together to rewrite the digital future of the German industry.</v>
      </c>
      <c r="E648" s="9" t="str">
        <f>IFERROR(__xludf.DUMMYFUNCTION("""COMPUTED_VALUE"""),"Global Citizenship")</f>
        <v>Global Citizenship</v>
      </c>
      <c r="F648" s="10" t="str">
        <f>IFERROR(__xludf.DUMMYFUNCTION("""COMPUTED_VALUE"""),"Founders Foundation GmbH")</f>
        <v>Founders Foundation GmbH</v>
      </c>
      <c r="G648" s="11">
        <f>IFERROR(__xludf.DUMMYFUNCTION("""COMPUTED_VALUE"""),317.0)</f>
        <v>317</v>
      </c>
      <c r="H648" s="11">
        <f>IFERROR(__xludf.DUMMYFUNCTION("""COMPUTED_VALUE"""),13.0)</f>
        <v>13</v>
      </c>
      <c r="I648" s="12" t="str">
        <f>IFERROR(__xludf.DUMMYFUNCTION("""COMPUTED_VALUE"""),"English")</f>
        <v>English</v>
      </c>
      <c r="J648" s="12" t="str">
        <f>IFERROR(__xludf.DUMMYFUNCTION("""COMPUTED_VALUE"""),"German")</f>
        <v>German</v>
      </c>
      <c r="K648" s="13">
        <f>IFERROR(__xludf.DUMMYFUNCTION("""COMPUTED_VALUE"""),43896.0)</f>
        <v>43896</v>
      </c>
      <c r="L648" s="14" t="str">
        <f>IFERROR(__xludf.DUMMYFUNCTION("""COMPUTED_VALUE"""),"https://masterplan.com/courses/hinterland20")</f>
        <v>https://masterplan.com/courses/hinterland20</v>
      </c>
    </row>
    <row r="649">
      <c r="A649" s="15" t="str">
        <f>IFERROR(__xludf.DUMMYFUNCTION("""COMPUTED_VALUE"""),"OMR '19")</f>
        <v>OMR '19</v>
      </c>
      <c r="B649" s="16" t="str">
        <f>IFERROR(__xludf.DUMMYFUNCTION("""COMPUTED_VALUE"""),"OMR '19")</f>
        <v>OMR '19</v>
      </c>
      <c r="C649" s="17" t="str">
        <f>IFERROR(__xludf.DUMMYFUNCTION("""COMPUTED_VALUE"""),"OMR ist die größte Wissens- und Inspirations-Plattform für die Digital- und Marketingszene in Europa. 2011 ist die OMR-Konferenz erstmals an den Start gegangen. Aus dieser Veranstaltung ist mittlerweile das zweitägige OMR-Festival mit Konferenz, Messe, Ko"&amp;"nzerten und rund 52.000 Besuchern im Jahr 2019 geworden. Daneben veranstaltet und veröffentlicht OMR zahlreiche weitere Formate – darunter Studien, Seminare, Partys, Podcasts sowie eine Stellenbörse.")</f>
        <v>OMR ist die größte Wissens- und Inspirations-Plattform für die Digital- und Marketingszene in Europa. 2011 ist die OMR-Konferenz erstmals an den Start gegangen. Aus dieser Veranstaltung ist mittlerweile das zweitägige OMR-Festival mit Konferenz, Messe, Konzerten und rund 52.000 Besuchern im Jahr 2019 geworden. Daneben veranstaltet und veröffentlicht OMR zahlreiche weitere Formate – darunter Studien, Seminare, Partys, Podcasts sowie eine Stellenbörse.</v>
      </c>
      <c r="D649" s="17" t="str">
        <f>IFERROR(__xludf.DUMMYFUNCTION("""COMPUTED_VALUE"""),"Das OMR-Festival mit Konferenz, Messe, Konzerten und rund 52.000 Besuchern im Jahr 2019 ging aus der größten Wissens-Plattform für die Marketingszene in Europa hervor. Die Themen aus der Veranstaltung in 2019 behandeln u.a. Marketing, Datenschutz oder kün"&amp;"stliche Intelligenz.")</f>
        <v>Das OMR-Festival mit Konferenz, Messe, Konzerten und rund 52.000 Besuchern im Jahr 2019 ging aus der größten Wissens-Plattform für die Marketingszene in Europa hervor. Die Themen aus der Veranstaltung in 2019 behandeln u.a. Marketing, Datenschutz oder künstliche Intelligenz.</v>
      </c>
      <c r="E649" s="9" t="str">
        <f>IFERROR(__xludf.DUMMYFUNCTION("""COMPUTED_VALUE"""),"Global Citizenship")</f>
        <v>Global Citizenship</v>
      </c>
      <c r="F649" s="19" t="str">
        <f>IFERROR(__xludf.DUMMYFUNCTION("""COMPUTED_VALUE"""),"Online Marketing Rockstars")</f>
        <v>Online Marketing Rockstars</v>
      </c>
      <c r="G649" s="20">
        <f>IFERROR(__xludf.DUMMYFUNCTION("""COMPUTED_VALUE"""),212.0)</f>
        <v>212</v>
      </c>
      <c r="H649" s="20">
        <f>IFERROR(__xludf.DUMMYFUNCTION("""COMPUTED_VALUE"""),10.0)</f>
        <v>10</v>
      </c>
      <c r="I649" s="21" t="str">
        <f>IFERROR(__xludf.DUMMYFUNCTION("""COMPUTED_VALUE"""),"English")</f>
        <v>English</v>
      </c>
      <c r="J649" s="21" t="str">
        <f>IFERROR(__xludf.DUMMYFUNCTION("""COMPUTED_VALUE"""),"English")</f>
        <v>English</v>
      </c>
      <c r="K649" s="22">
        <f>IFERROR(__xludf.DUMMYFUNCTION("""COMPUTED_VALUE"""),43892.0)</f>
        <v>43892</v>
      </c>
      <c r="L649" s="23" t="str">
        <f>IFERROR(__xludf.DUMMYFUNCTION("""COMPUTED_VALUE"""),"https://masterplan.com/courses/omr-19")</f>
        <v>https://masterplan.com/courses/omr-19</v>
      </c>
    </row>
    <row r="650">
      <c r="A650" s="6" t="str">
        <f>IFERROR(__xludf.DUMMYFUNCTION("""COMPUTED_VALUE"""),"New Work: Anders Arbeiten mit Blackboat (Case Study)")</f>
        <v>New Work: Anders Arbeiten mit Blackboat (Case Study)</v>
      </c>
      <c r="B650" s="7" t="str">
        <f>IFERROR(__xludf.DUMMYFUNCTION("""COMPUTED_VALUE"""),"New Work the Blackboat Way (Case study)")</f>
        <v>New Work the Blackboat Way (Case study)</v>
      </c>
      <c r="C650" s="8" t="str">
        <f>IFERROR(__xludf.DUMMYFUNCTION("""COMPUTED_VALUE"""),"Vom Einsatz moderner Tools für die Online-Kollaboration über New Work-Methoden bis hin zu moderneren Kommunikation - Christoph Magnussen teilt seine Erfahrungen und Ideen. Der wichtigste Punkt von Blackboat ist, dass die Menschen der Mittelpunkt eines Unt"&amp;"ernehmens sind.")</f>
        <v>Vom Einsatz moderner Tools für die Online-Kollaboration über New Work-Methoden bis hin zu moderneren Kommunikation - Christoph Magnussen teilt seine Erfahrungen und Ideen. Der wichtigste Punkt von Blackboat ist, dass die Menschen der Mittelpunkt eines Unternehmens sind.</v>
      </c>
      <c r="D650" s="8" t="str">
        <f>IFERROR(__xludf.DUMMYFUNCTION("""COMPUTED_VALUE"""),"From the use of modern tools for online collaboration to new work methods and modern communication - Christoph Magnussen shares his experiences and ideas. The most important point of Blackboat is that people are the center of a company.")</f>
        <v>From the use of modern tools for online collaboration to new work methods and modern communication - Christoph Magnussen shares his experiences and ideas. The most important point of Blackboat is that people are the center of a company.</v>
      </c>
      <c r="E650" s="26" t="str">
        <f>IFERROR(__xludf.DUMMYFUNCTION("""COMPUTED_VALUE"""),"Collaboration and Leadership")</f>
        <v>Collaboration and Leadership</v>
      </c>
      <c r="F650" s="10" t="str">
        <f>IFERROR(__xludf.DUMMYFUNCTION("""COMPUTED_VALUE"""),"Blackboat - Christoph Magnussen")</f>
        <v>Blackboat - Christoph Magnussen</v>
      </c>
      <c r="G650" s="11">
        <f>IFERROR(__xludf.DUMMYFUNCTION("""COMPUTED_VALUE"""),130.0)</f>
        <v>130</v>
      </c>
      <c r="H650" s="11">
        <f>IFERROR(__xludf.DUMMYFUNCTION("""COMPUTED_VALUE"""),33.0)</f>
        <v>33</v>
      </c>
      <c r="I650" s="12" t="str">
        <f>IFERROR(__xludf.DUMMYFUNCTION("""COMPUTED_VALUE"""),"English, German")</f>
        <v>English, German</v>
      </c>
      <c r="J650" s="12" t="str">
        <f>IFERROR(__xludf.DUMMYFUNCTION("""COMPUTED_VALUE"""),"English")</f>
        <v>English</v>
      </c>
      <c r="K650" s="13">
        <f>IFERROR(__xludf.DUMMYFUNCTION("""COMPUTED_VALUE"""),43889.0)</f>
        <v>43889</v>
      </c>
      <c r="L650" s="14" t="str">
        <f>IFERROR(__xludf.DUMMYFUNCTION("""COMPUTED_VALUE"""),"https://masterplan.com/courses/new-work-blackboat")</f>
        <v>https://masterplan.com/courses/new-work-blackboat</v>
      </c>
    </row>
    <row r="651">
      <c r="A651" s="15" t="str">
        <f>IFERROR(__xludf.DUMMYFUNCTION("""COMPUTED_VALUE"""),"Work Awesome '19")</f>
        <v>Work Awesome '19</v>
      </c>
      <c r="B651" s="16" t="str">
        <f>IFERROR(__xludf.DUMMYFUNCTION("""COMPUTED_VALUE"""),"Work Awesome '19")</f>
        <v>Work Awesome '19</v>
      </c>
      <c r="C651" s="17" t="str">
        <f>IFERROR(__xludf.DUMMYFUNCTION("""COMPUTED_VALUE"""),"Die Arbeitswelt steht an der Schwelle zu einem revolutionär neuen Zeitalter. Disruptive Technologien und Geschäftsmodelle bedrohen etablierte Unternehmen – und schaffen gleichzeitig große Chancen für Neues.")</f>
        <v>Die Arbeitswelt steht an der Schwelle zu einem revolutionär neuen Zeitalter. Disruptive Technologien und Geschäftsmodelle bedrohen etablierte Unternehmen – und schaffen gleichzeitig große Chancen für Neues.</v>
      </c>
      <c r="D651" s="17" t="str">
        <f>IFERROR(__xludf.DUMMYFUNCTION("""COMPUTED_VALUE"""),"The world of work is on the threshold of a revolutionary new era. From artificial intelligence to data-driven HR, from radically new forms of work to the office of the future: Work Awesome combines exciting experts and the latest ideas for the future of w"&amp;"ork.")</f>
        <v>The world of work is on the threshold of a revolutionary new era. From artificial intelligence to data-driven HR, from radically new forms of work to the office of the future: Work Awesome combines exciting experts and the latest ideas for the future of work.</v>
      </c>
      <c r="E651" s="9" t="str">
        <f>IFERROR(__xludf.DUMMYFUNCTION("""COMPUTED_VALUE"""),"Global Citizenship")</f>
        <v>Global Citizenship</v>
      </c>
      <c r="F651" s="19" t="str">
        <f>IFERROR(__xludf.DUMMYFUNCTION("""COMPUTED_VALUE"""),"Work Awesome")</f>
        <v>Work Awesome</v>
      </c>
      <c r="G651" s="20">
        <f>IFERROR(__xludf.DUMMYFUNCTION("""COMPUTED_VALUE"""),305.0)</f>
        <v>305</v>
      </c>
      <c r="H651" s="20">
        <f>IFERROR(__xludf.DUMMYFUNCTION("""COMPUTED_VALUE"""),8.0)</f>
        <v>8</v>
      </c>
      <c r="I651" s="21" t="str">
        <f>IFERROR(__xludf.DUMMYFUNCTION("""COMPUTED_VALUE"""),"German")</f>
        <v>German</v>
      </c>
      <c r="J651" s="21" t="str">
        <f>IFERROR(__xludf.DUMMYFUNCTION("""COMPUTED_VALUE"""),"German")</f>
        <v>German</v>
      </c>
      <c r="K651" s="22">
        <f>IFERROR(__xludf.DUMMYFUNCTION("""COMPUTED_VALUE"""),43881.0)</f>
        <v>43881</v>
      </c>
      <c r="L651" s="23" t="str">
        <f>IFERROR(__xludf.DUMMYFUNCTION("""COMPUTED_VALUE"""),"https://masterplan.com/courses/work-awesome-19")</f>
        <v>https://masterplan.com/courses/work-awesome-19</v>
      </c>
    </row>
    <row r="652">
      <c r="A652" s="6" t="str">
        <f>IFERROR(__xludf.DUMMYFUNCTION("""COMPUTED_VALUE"""),"DMEXCO '19")</f>
        <v>DMEXCO '19</v>
      </c>
      <c r="B652" s="7" t="str">
        <f>IFERROR(__xludf.DUMMYFUNCTION("""COMPUTED_VALUE"""),"DMEXCO '19")</f>
        <v>DMEXCO '19</v>
      </c>
      <c r="C652" s="8" t="str">
        <f>IFERROR(__xludf.DUMMYFUNCTION("""COMPUTED_VALUE"""),"DMEXCO is, as a unique combination of trade fair and conference, the meeting point for decision makers from the digital economy, marketing and innovation. In various formats, they provide an insight into current trends, growth strategies and product innov"&amp;"ations.")</f>
        <v>DMEXCO is, as a unique combination of trade fair and conference, the meeting point for decision makers from the digital economy, marketing and innovation. In various formats, they provide an insight into current trends, growth strategies and product innovations.</v>
      </c>
      <c r="D652" s="8" t="str">
        <f>IFERROR(__xludf.DUMMYFUNCTION("""COMPUTED_VALUE"""),"DMEXCO is, as a unique combination of trade fair and conference, the meeting point for decision makers from the digital economy, marketing and innovation. In various formats, they provide an insight into current trends, growth strategies and product innov"&amp;"ations.")</f>
        <v>DMEXCO is, as a unique combination of trade fair and conference, the meeting point for decision makers from the digital economy, marketing and innovation. In various formats, they provide an insight into current trends, growth strategies and product innovations.</v>
      </c>
      <c r="E652" s="9" t="str">
        <f>IFERROR(__xludf.DUMMYFUNCTION("""COMPUTED_VALUE"""),"Global Citizenship")</f>
        <v>Global Citizenship</v>
      </c>
      <c r="F652" s="10" t="str">
        <f>IFERROR(__xludf.DUMMYFUNCTION("""COMPUTED_VALUE"""),"DMEXCO")</f>
        <v>DMEXCO</v>
      </c>
      <c r="G652" s="11">
        <f>IFERROR(__xludf.DUMMYFUNCTION("""COMPUTED_VALUE"""),196.0)</f>
        <v>196</v>
      </c>
      <c r="H652" s="11">
        <f>IFERROR(__xludf.DUMMYFUNCTION("""COMPUTED_VALUE"""),7.0)</f>
        <v>7</v>
      </c>
      <c r="I652" s="12" t="str">
        <f>IFERROR(__xludf.DUMMYFUNCTION("""COMPUTED_VALUE"""),"English")</f>
        <v>English</v>
      </c>
      <c r="J652" s="12" t="str">
        <f>IFERROR(__xludf.DUMMYFUNCTION("""COMPUTED_VALUE"""),"English")</f>
        <v>English</v>
      </c>
      <c r="K652" s="13">
        <f>IFERROR(__xludf.DUMMYFUNCTION("""COMPUTED_VALUE"""),43880.0)</f>
        <v>43880</v>
      </c>
      <c r="L652" s="14" t="str">
        <f>IFERROR(__xludf.DUMMYFUNCTION("""COMPUTED_VALUE"""),"https://masterplan.com/courses/dmexco-19")</f>
        <v>https://masterplan.com/courses/dmexco-19</v>
      </c>
    </row>
    <row r="653">
      <c r="A653" s="15" t="str">
        <f>IFERROR(__xludf.DUMMYFUNCTION("""COMPUTED_VALUE"""),"Wege zum Erfolg – Oliver Kahn")</f>
        <v>Wege zum Erfolg – Oliver Kahn</v>
      </c>
      <c r="B653" s="16" t="str">
        <f>IFERROR(__xludf.DUMMYFUNCTION("""COMPUTED_VALUE"""),"Ways to Success - Oliver Kahn")</f>
        <v>Ways to Success - Oliver Kahn</v>
      </c>
      <c r="C653" s="17" t="str">
        <f>IFERROR(__xludf.DUMMYFUNCTION("""COMPUTED_VALUE"""),"Wie kann der Weg vom dreifachen Welttorhüter zum erfolgreichen Unternehmer gelingen? Oliver Kahn gibt Einblicke in seine ganz persönliche Entwicklung und verrät dir, wie du zum erfolgreichen Teamplayer werden kannst.")</f>
        <v>Wie kann der Weg vom dreifachen Welttorhüter zum erfolgreichen Unternehmer gelingen? Oliver Kahn gibt Einblicke in seine ganz persönliche Entwicklung und verrät dir, wie du zum erfolgreichen Teamplayer werden kannst.</v>
      </c>
      <c r="D653" s="17" t="str">
        <f>IFERROR(__xludf.DUMMYFUNCTION("""COMPUTED_VALUE"""),"How can the path from triple world goalkeeper to successful entrepreneur succeed? Oliver Kahn gives insights into his very personal development and reveals how you can become a successful team player.")</f>
        <v>How can the path from triple world goalkeeper to successful entrepreneur succeed? Oliver Kahn gives insights into his very personal development and reveals how you can become a successful team player.</v>
      </c>
      <c r="E653" s="26" t="str">
        <f>IFERROR(__xludf.DUMMYFUNCTION("""COMPUTED_VALUE"""),"Collaboration and Leadership")</f>
        <v>Collaboration and Leadership</v>
      </c>
      <c r="F653" s="19" t="str">
        <f>IFERROR(__xludf.DUMMYFUNCTION("""COMPUTED_VALUE"""),"Masterplan com GmbH - Oliver Kahn &amp; Stefan Peukert (Moderator)")</f>
        <v>Masterplan com GmbH - Oliver Kahn &amp; Stefan Peukert (Moderator)</v>
      </c>
      <c r="G653" s="20">
        <f>IFERROR(__xludf.DUMMYFUNCTION("""COMPUTED_VALUE"""),29.0)</f>
        <v>29</v>
      </c>
      <c r="H653" s="20">
        <f>IFERROR(__xludf.DUMMYFUNCTION("""COMPUTED_VALUE"""),4.0)</f>
        <v>4</v>
      </c>
      <c r="I653" s="21" t="str">
        <f>IFERROR(__xludf.DUMMYFUNCTION("""COMPUTED_VALUE"""),"English, German")</f>
        <v>English, German</v>
      </c>
      <c r="J653" s="21" t="str">
        <f>IFERROR(__xludf.DUMMYFUNCTION("""COMPUTED_VALUE"""),"German")</f>
        <v>German</v>
      </c>
      <c r="K653" s="22">
        <f>IFERROR(__xludf.DUMMYFUNCTION("""COMPUTED_VALUE"""),43868.0)</f>
        <v>43868</v>
      </c>
      <c r="L653" s="23" t="str">
        <f>IFERROR(__xludf.DUMMYFUNCTION("""COMPUTED_VALUE"""),"https://masterplan.com/courses/wege-zum-erfolg-oliver-kahn")</f>
        <v>https://masterplan.com/courses/wege-zum-erfolg-oliver-kahn</v>
      </c>
    </row>
    <row r="654">
      <c r="A654" s="6" t="str">
        <f>IFERROR(__xludf.DUMMYFUNCTION("""COMPUTED_VALUE"""),"Energiewirtschaft im Wandel")</f>
        <v>Energiewirtschaft im Wandel</v>
      </c>
      <c r="B654" s="7" t="str">
        <f>IFERROR(__xludf.DUMMYFUNCTION("""COMPUTED_VALUE"""),"The Changing Energy Industry")</f>
        <v>The Changing Energy Industry</v>
      </c>
      <c r="C654" s="8" t="str">
        <f>IFERROR(__xludf.DUMMYFUNCTION("""COMPUTED_VALUE"""),"Welche Herausforderungen kommen auf die Energiebranche zu? Wie sieht das Stromnetz der Zukunft aus? Von virtuellen Kraftwerken bis hin zur Blockchaintechnologie - In diesem Kurs erfährst du von Philipp Richard, welche Innovationen den Energiesektor erwart"&amp;"en.")</f>
        <v>Welche Herausforderungen kommen auf die Energiebranche zu? Wie sieht das Stromnetz der Zukunft aus? Von virtuellen Kraftwerken bis hin zur Blockchaintechnologie - In diesem Kurs erfährst du von Philipp Richard, welche Innovationen den Energiesektor erwarten.</v>
      </c>
      <c r="D654" s="8" t="str">
        <f>IFERROR(__xludf.DUMMYFUNCTION("""COMPUTED_VALUE"""),"What challenges will the energy industry face? What will the power grid of the future look like? From virtual power plants to blockchain technology - in this course, you will learn from Philipp Richard which innovations await the energy sector.")</f>
        <v>What challenges will the energy industry face? What will the power grid of the future look like? From virtual power plants to blockchain technology - in this course, you will learn from Philipp Richard which innovations await the energy sector.</v>
      </c>
      <c r="E654" s="25" t="str">
        <f>IFERROR(__xludf.DUMMYFUNCTION("""COMPUTED_VALUE"""),"Digital Literacy")</f>
        <v>Digital Literacy</v>
      </c>
      <c r="F654" s="10" t="str">
        <f>IFERROR(__xludf.DUMMYFUNCTION("""COMPUTED_VALUE"""),"Masterplan com GmbH - Philipp Richard")</f>
        <v>Masterplan com GmbH - Philipp Richard</v>
      </c>
      <c r="G654" s="11">
        <f>IFERROR(__xludf.DUMMYFUNCTION("""COMPUTED_VALUE"""),35.0)</f>
        <v>35</v>
      </c>
      <c r="H654" s="11">
        <f>IFERROR(__xludf.DUMMYFUNCTION("""COMPUTED_VALUE"""),24.0)</f>
        <v>24</v>
      </c>
      <c r="I654" s="12" t="str">
        <f>IFERROR(__xludf.DUMMYFUNCTION("""COMPUTED_VALUE"""),"English, German")</f>
        <v>English, German</v>
      </c>
      <c r="J654" s="12" t="str">
        <f>IFERROR(__xludf.DUMMYFUNCTION("""COMPUTED_VALUE"""),"German")</f>
        <v>German</v>
      </c>
      <c r="K654" s="13">
        <f>IFERROR(__xludf.DUMMYFUNCTION("""COMPUTED_VALUE"""),43867.0)</f>
        <v>43867</v>
      </c>
      <c r="L654" s="14" t="str">
        <f>IFERROR(__xludf.DUMMYFUNCTION("""COMPUTED_VALUE"""),"https://masterplan.com/courses/energiewirtschaft-im-wandel")</f>
        <v>https://masterplan.com/courses/energiewirtschaft-im-wandel</v>
      </c>
    </row>
    <row r="655">
      <c r="A655" s="15" t="str">
        <f>IFERROR(__xludf.DUMMYFUNCTION("""COMPUTED_VALUE"""),"Summit LA 19")</f>
        <v>Summit LA 19</v>
      </c>
      <c r="B655" s="16" t="str">
        <f>IFERROR(__xludf.DUMMYFUNCTION("""COMPUTED_VALUE"""),"Summit LA 19")</f>
        <v>Summit LA 19</v>
      </c>
      <c r="C655" s="17" t="str">
        <f>IFERROR(__xludf.DUMMYFUNCTION("""COMPUTED_VALUE"""),"Summit LA gives you insights from leaders like Uber CEO Dara Khosrowshahi, LinkedIn Founder Reid Hoffmann or the famous Yogi Sadhguru. Summit unites leaders across all disciplines through a series of invite-only events designed to catalyze personal and co"&amp;"llective growth.")</f>
        <v>Summit LA gives you insights from leaders like Uber CEO Dara Khosrowshahi, LinkedIn Founder Reid Hoffmann or the famous Yogi Sadhguru. Summit unites leaders across all disciplines through a series of invite-only events designed to catalyze personal and collective growth.</v>
      </c>
      <c r="D655" s="17" t="str">
        <f>IFERROR(__xludf.DUMMYFUNCTION("""COMPUTED_VALUE"""),"Summit LA gives you insight from leaders like Uber CEO Dara Khosrowshahi, LinkedIn Founder Reid Hoffmann or the famous Yogi Sadhguru. Summit unites leaders across all disciplines through a series of invite-only events designed to catalyze personal and col"&amp;"lective growth.")</f>
        <v>Summit LA gives you insight from leaders like Uber CEO Dara Khosrowshahi, LinkedIn Founder Reid Hoffmann or the famous Yogi Sadhguru. Summit unites leaders across all disciplines through a series of invite-only events designed to catalyze personal and collective growth.</v>
      </c>
      <c r="E655" s="9" t="str">
        <f>IFERROR(__xludf.DUMMYFUNCTION("""COMPUTED_VALUE"""),"Global Citizenship")</f>
        <v>Global Citizenship</v>
      </c>
      <c r="F655" s="19" t="str">
        <f>IFERROR(__xludf.DUMMYFUNCTION("""COMPUTED_VALUE"""),"Summit")</f>
        <v>Summit</v>
      </c>
      <c r="G655" s="20">
        <f>IFERROR(__xludf.DUMMYFUNCTION("""COMPUTED_VALUE"""),812.0)</f>
        <v>812</v>
      </c>
      <c r="H655" s="20">
        <f>IFERROR(__xludf.DUMMYFUNCTION("""COMPUTED_VALUE"""),15.0)</f>
        <v>15</v>
      </c>
      <c r="I655" s="21" t="str">
        <f>IFERROR(__xludf.DUMMYFUNCTION("""COMPUTED_VALUE"""),"English")</f>
        <v>English</v>
      </c>
      <c r="J655" s="21" t="str">
        <f>IFERROR(__xludf.DUMMYFUNCTION("""COMPUTED_VALUE"""),"English")</f>
        <v>English</v>
      </c>
      <c r="K655" s="22">
        <f>IFERROR(__xludf.DUMMYFUNCTION("""COMPUTED_VALUE"""),43864.0)</f>
        <v>43864</v>
      </c>
      <c r="L655" s="23" t="str">
        <f>IFERROR(__xludf.DUMMYFUNCTION("""COMPUTED_VALUE"""),"https://masterplan.com/courses/summit-la19")</f>
        <v>https://masterplan.com/courses/summit-la19</v>
      </c>
    </row>
    <row r="656">
      <c r="A656" s="6" t="str">
        <f>IFERROR(__xludf.DUMMYFUNCTION("""COMPUTED_VALUE"""),"Work Awesome '18")</f>
        <v>Work Awesome '18</v>
      </c>
      <c r="B656" s="7" t="str">
        <f>IFERROR(__xludf.DUMMYFUNCTION("""COMPUTED_VALUE"""),"Work Awesome '18")</f>
        <v>Work Awesome '18</v>
      </c>
      <c r="C656" s="8" t="str">
        <f>IFERROR(__xludf.DUMMYFUNCTION("""COMPUTED_VALUE"""),"Die Arbeitswelt steht vor einem neuen Zeitalter: Disruptive Technologien und Geschäftsmodelle bedrohen den Status Quo. Alternative Arbeitsmodelle (""New Work"") fordern Flexibilität. Was heißt das für dich und deine Organisation? Antworten gibt die Work A"&amp;"wesome Konferenz 2018.")</f>
        <v>Die Arbeitswelt steht vor einem neuen Zeitalter: Disruptive Technologien und Geschäftsmodelle bedrohen den Status Quo. Alternative Arbeitsmodelle ("New Work") fordern Flexibilität. Was heißt das für dich und deine Organisation? Antworten gibt die Work Awesome Konferenz 2018.</v>
      </c>
      <c r="D656" s="8" t="str">
        <f>IFERROR(__xludf.DUMMYFUNCTION("""COMPUTED_VALUE"""),"The world of work is on the threshold of a revolutionary new era. From artificial intelligence to data-driven HR, from radically new forms of work to the office of the future: Work Awesome combines exciting experts and the latest ideas for the future of w"&amp;"ork.")</f>
        <v>The world of work is on the threshold of a revolutionary new era. From artificial intelligence to data-driven HR, from radically new forms of work to the office of the future: Work Awesome combines exciting experts and the latest ideas for the future of work.</v>
      </c>
      <c r="E656" s="9" t="str">
        <f>IFERROR(__xludf.DUMMYFUNCTION("""COMPUTED_VALUE"""),"Global Citizenship")</f>
        <v>Global Citizenship</v>
      </c>
      <c r="F656" s="10" t="str">
        <f>IFERROR(__xludf.DUMMYFUNCTION("""COMPUTED_VALUE"""),"Work Awesome")</f>
        <v>Work Awesome</v>
      </c>
      <c r="G656" s="11">
        <f>IFERROR(__xludf.DUMMYFUNCTION("""COMPUTED_VALUE"""),397.0)</f>
        <v>397</v>
      </c>
      <c r="H656" s="11">
        <f>IFERROR(__xludf.DUMMYFUNCTION("""COMPUTED_VALUE"""),11.0)</f>
        <v>11</v>
      </c>
      <c r="I656" s="12" t="str">
        <f>IFERROR(__xludf.DUMMYFUNCTION("""COMPUTED_VALUE"""),"German")</f>
        <v>German</v>
      </c>
      <c r="J656" s="12" t="str">
        <f>IFERROR(__xludf.DUMMYFUNCTION("""COMPUTED_VALUE"""),"German")</f>
        <v>German</v>
      </c>
      <c r="K656" s="13">
        <f>IFERROR(__xludf.DUMMYFUNCTION("""COMPUTED_VALUE"""),43862.0)</f>
        <v>43862</v>
      </c>
      <c r="L656" s="14" t="str">
        <f>IFERROR(__xludf.DUMMYFUNCTION("""COMPUTED_VALUE"""),"https://masterplan.com/courses/work-awesome-18")</f>
        <v>https://masterplan.com/courses/work-awesome-18</v>
      </c>
    </row>
    <row r="657">
      <c r="A657" s="15" t="str">
        <f>IFERROR(__xludf.DUMMYFUNCTION("""COMPUTED_VALUE"""),"WOL Camp")</f>
        <v>WOL Camp</v>
      </c>
      <c r="B657" s="16" t="str">
        <f>IFERROR(__xludf.DUMMYFUNCTION("""COMPUTED_VALUE"""),"WOL Camp")</f>
        <v>WOL Camp</v>
      </c>
      <c r="C657" s="17" t="str">
        <f>IFERROR(__xludf.DUMMYFUNCTION("""COMPUTED_VALUE"""),"Das WOL-Camp bringt die Denker und Treiber von Working Out Loud zusammen. Hierbei teilen diese ihre Erfahrungen und ihr Wissen über die Anwendung der Working Out Loud Methode in Organisationen.")</f>
        <v>Das WOL-Camp bringt die Denker und Treiber von Working Out Loud zusammen. Hierbei teilen diese ihre Erfahrungen und ihr Wissen über die Anwendung der Working Out Loud Methode in Organisationen.</v>
      </c>
      <c r="D657" s="17" t="str">
        <f>IFERROR(__xludf.DUMMYFUNCTION("""COMPUTED_VALUE"""),"The WOL camp brings together the thinkers and drivers of Working Out Loud. They share their experience and knowledge about the application of the Working Out Loud method in organizations.")</f>
        <v>The WOL camp brings together the thinkers and drivers of Working Out Loud. They share their experience and knowledge about the application of the Working Out Loud method in organizations.</v>
      </c>
      <c r="E657" s="9" t="str">
        <f>IFERROR(__xludf.DUMMYFUNCTION("""COMPUTED_VALUE"""),"Global Citizenship")</f>
        <v>Global Citizenship</v>
      </c>
      <c r="F657" s="19" t="str">
        <f>IFERROR(__xludf.DUMMYFUNCTION("""COMPUTED_VALUE"""),"Work Awesome")</f>
        <v>Work Awesome</v>
      </c>
      <c r="G657" s="20">
        <f>IFERROR(__xludf.DUMMYFUNCTION("""COMPUTED_VALUE"""),67.0)</f>
        <v>67</v>
      </c>
      <c r="H657" s="20">
        <f>IFERROR(__xludf.DUMMYFUNCTION("""COMPUTED_VALUE"""),3.0)</f>
        <v>3</v>
      </c>
      <c r="I657" s="21" t="str">
        <f>IFERROR(__xludf.DUMMYFUNCTION("""COMPUTED_VALUE"""),"German")</f>
        <v>German</v>
      </c>
      <c r="J657" s="21" t="str">
        <f>IFERROR(__xludf.DUMMYFUNCTION("""COMPUTED_VALUE"""),"German")</f>
        <v>German</v>
      </c>
      <c r="K657" s="22">
        <f>IFERROR(__xludf.DUMMYFUNCTION("""COMPUTED_VALUE"""),43858.0)</f>
        <v>43858</v>
      </c>
      <c r="L657" s="23" t="str">
        <f>IFERROR(__xludf.DUMMYFUNCTION("""COMPUTED_VALUE"""),"https://masterplan.com/courses/wol-camp")</f>
        <v>https://masterplan.com/courses/wol-camp</v>
      </c>
    </row>
    <row r="658">
      <c r="A658" s="6" t="str">
        <f>IFERROR(__xludf.DUMMYFUNCTION("""COMPUTED_VALUE"""),"Trends im Finanzwesen")</f>
        <v>Trends im Finanzwesen</v>
      </c>
      <c r="B658" s="7" t="str">
        <f>IFERROR(__xludf.DUMMYFUNCTION("""COMPUTED_VALUE"""),"Current Trends in Financial Services")</f>
        <v>Current Trends in Financial Services</v>
      </c>
      <c r="C658" s="8" t="str">
        <f>IFERROR(__xludf.DUMMYFUNCTION("""COMPUTED_VALUE"""),"Die Digitalisierung verändert das Finanzwesen und bietet so neue Optionen für eine organisatorische und kulturelle Neugestaltung. Welche Möglichkeiten dir Innovationen - wie Kryptowährung und Co.- bieten, verrät Franz Welter dir in diesem Kurs.")</f>
        <v>Die Digitalisierung verändert das Finanzwesen und bietet so neue Optionen für eine organisatorische und kulturelle Neugestaltung. Welche Möglichkeiten dir Innovationen - wie Kryptowährung und Co.- bieten, verrät Franz Welter dir in diesem Kurs.</v>
      </c>
      <c r="D658" s="8" t="str">
        <f>IFERROR(__xludf.DUMMYFUNCTION("""COMPUTED_VALUE"""),"Digitalization is changing finance and thus offers new options for organizational and cultural redesign. In this course, Franz Welter will show you what possibilities that innovation such as cryptocurrency offer you.")</f>
        <v>Digitalization is changing finance and thus offers new options for organizational and cultural redesign. In this course, Franz Welter will show you what possibilities that innovation such as cryptocurrency offer you.</v>
      </c>
      <c r="E658" s="9" t="str">
        <f>IFERROR(__xludf.DUMMYFUNCTION("""COMPUTED_VALUE"""),"Global Citizenship")</f>
        <v>Global Citizenship</v>
      </c>
      <c r="F658" s="10" t="str">
        <f>IFERROR(__xludf.DUMMYFUNCTION("""COMPUTED_VALUE"""),"Masterplan com GmbH - Franz Welter")</f>
        <v>Masterplan com GmbH - Franz Welter</v>
      </c>
      <c r="G658" s="11">
        <f>IFERROR(__xludf.DUMMYFUNCTION("""COMPUTED_VALUE"""),42.0)</f>
        <v>42</v>
      </c>
      <c r="H658" s="11">
        <f>IFERROR(__xludf.DUMMYFUNCTION("""COMPUTED_VALUE"""),21.0)</f>
        <v>21</v>
      </c>
      <c r="I658" s="12" t="str">
        <f>IFERROR(__xludf.DUMMYFUNCTION("""COMPUTED_VALUE"""),"English, German")</f>
        <v>English, German</v>
      </c>
      <c r="J658" s="12" t="str">
        <f>IFERROR(__xludf.DUMMYFUNCTION("""COMPUTED_VALUE"""),"German")</f>
        <v>German</v>
      </c>
      <c r="K658" s="13">
        <f>IFERROR(__xludf.DUMMYFUNCTION("""COMPUTED_VALUE"""),43847.0)</f>
        <v>43847</v>
      </c>
      <c r="L658" s="14" t="str">
        <f>IFERROR(__xludf.DUMMYFUNCTION("""COMPUTED_VALUE"""),"https://masterplan.com/courses/finanzen-im-wandel")</f>
        <v>https://masterplan.com/courses/finanzen-im-wandel</v>
      </c>
    </row>
    <row r="659">
      <c r="A659" s="15" t="str">
        <f>IFERROR(__xludf.DUMMYFUNCTION("""COMPUTED_VALUE"""),"Explain it powered by You Know")</f>
        <v>Explain it powered by You Know</v>
      </c>
      <c r="B659" s="16" t="str">
        <f>IFERROR(__xludf.DUMMYFUNCTION("""COMPUTED_VALUE"""),"Explain it powered by You Know")</f>
        <v>Explain it powered by You Know</v>
      </c>
      <c r="C659" s="17" t="str">
        <f>IFERROR(__xludf.DUMMYFUNCTION("""COMPUTED_VALUE"""),"You Know ist einer der führenden Produzenten von Erklärvideos und vermittelt von Crispr über Blockchain bis hin zu Smart Grid unterhaltend Wissen.")</f>
        <v>You Know ist einer der führenden Produzenten von Erklärvideos und vermittelt von Crispr über Blockchain bis hin zu Smart Grid unterhaltend Wissen.</v>
      </c>
      <c r="D659" s="17" t="str">
        <f>IFERROR(__xludf.DUMMYFUNCTION("""COMPUTED_VALUE"""),"You Know is one of the leading producers of learning videos and entertainingly explains everything from Crispr to Blockchain all the way to Smart Grid.")</f>
        <v>You Know is one of the leading producers of learning videos and entertainingly explains everything from Crispr to Blockchain all the way to Smart Grid.</v>
      </c>
      <c r="E659" s="25" t="str">
        <f>IFERROR(__xludf.DUMMYFUNCTION("""COMPUTED_VALUE"""),"Digital Literacy")</f>
        <v>Digital Literacy</v>
      </c>
      <c r="F659" s="19" t="str">
        <f>IFERROR(__xludf.DUMMYFUNCTION("""COMPUTED_VALUE"""),"You Know GmbH")</f>
        <v>You Know GmbH</v>
      </c>
      <c r="G659" s="20">
        <f>IFERROR(__xludf.DUMMYFUNCTION("""COMPUTED_VALUE"""),23.0)</f>
        <v>23</v>
      </c>
      <c r="H659" s="20">
        <f>IFERROR(__xludf.DUMMYFUNCTION("""COMPUTED_VALUE"""),21.0)</f>
        <v>21</v>
      </c>
      <c r="I659" s="21" t="str">
        <f>IFERROR(__xludf.DUMMYFUNCTION("""COMPUTED_VALUE"""),"English, German")</f>
        <v>English, German</v>
      </c>
      <c r="J659" s="21" t="str">
        <f>IFERROR(__xludf.DUMMYFUNCTION("""COMPUTED_VALUE"""),"German")</f>
        <v>German</v>
      </c>
      <c r="K659" s="22">
        <f>IFERROR(__xludf.DUMMYFUNCTION("""COMPUTED_VALUE"""),43840.0)</f>
        <v>43840</v>
      </c>
      <c r="L659" s="23" t="str">
        <f>IFERROR(__xludf.DUMMYFUNCTION("""COMPUTED_VALUE"""),"https://masterplan.com/courses/explain-you-know")</f>
        <v>https://masterplan.com/courses/explain-you-know</v>
      </c>
    </row>
    <row r="660">
      <c r="A660" s="6" t="str">
        <f>IFERROR(__xludf.DUMMYFUNCTION("""COMPUTED_VALUE"""),"CNBC Explains")</f>
        <v>CNBC Explains</v>
      </c>
      <c r="B660" s="7" t="str">
        <f>IFERROR(__xludf.DUMMYFUNCTION("""COMPUTED_VALUE"""),"CNBC Explains")</f>
        <v>CNBC Explains</v>
      </c>
      <c r="C660" s="8" t="str">
        <f>IFERROR(__xludf.DUMMYFUNCTION("""COMPUTED_VALUE"""),"Von Fintech zu neuer Arbeit: CNBC Explains teilt die neuesten Erkenntnisse zu Trendthemen unserer digitalen Zeit. CNBC ist der führende Wirtschaftsnachrichtensender und führt in erster Linie Finanz- und Wirtschaftsdokumentationen.")</f>
        <v>Von Fintech zu neuer Arbeit: CNBC Explains teilt die neuesten Erkenntnisse zu Trendthemen unserer digitalen Zeit. CNBC ist der führende Wirtschaftsnachrichtensender und führt in erster Linie Finanz- und Wirtschaftsdokumentationen.</v>
      </c>
      <c r="D660" s="8" t="str">
        <f>IFERROR(__xludf.DUMMYFUNCTION("""COMPUTED_VALUE"""),"From Fintech to New Work: CNBC Explains shares the newest insights in trending topics of our digital time. CNBC is the leading business news channel and primarily carries financial and business-themed documentaries.")</f>
        <v>From Fintech to New Work: CNBC Explains shares the newest insights in trending topics of our digital time. CNBC is the leading business news channel and primarily carries financial and business-themed documentaries.</v>
      </c>
      <c r="E660" s="25" t="str">
        <f>IFERROR(__xludf.DUMMYFUNCTION("""COMPUTED_VALUE"""),"Digital Literacy")</f>
        <v>Digital Literacy</v>
      </c>
      <c r="F660" s="10" t="str">
        <f>IFERROR(__xludf.DUMMYFUNCTION("""COMPUTED_VALUE"""),"CNBC")</f>
        <v>CNBC</v>
      </c>
      <c r="G660" s="11">
        <f>IFERROR(__xludf.DUMMYFUNCTION("""COMPUTED_VALUE"""),41.0)</f>
        <v>41</v>
      </c>
      <c r="H660" s="11">
        <f>IFERROR(__xludf.DUMMYFUNCTION("""COMPUTED_VALUE"""),27.0)</f>
        <v>27</v>
      </c>
      <c r="I660" s="12" t="str">
        <f>IFERROR(__xludf.DUMMYFUNCTION("""COMPUTED_VALUE"""),"English")</f>
        <v>English</v>
      </c>
      <c r="J660" s="12" t="str">
        <f>IFERROR(__xludf.DUMMYFUNCTION("""COMPUTED_VALUE"""),"English")</f>
        <v>English</v>
      </c>
      <c r="K660" s="13">
        <f>IFERROR(__xludf.DUMMYFUNCTION("""COMPUTED_VALUE"""),43817.0)</f>
        <v>43817</v>
      </c>
      <c r="L660" s="14" t="str">
        <f>IFERROR(__xludf.DUMMYFUNCTION("""COMPUTED_VALUE"""),"https://masterplan.com/courses/cnbc-explains")</f>
        <v>https://masterplan.com/courses/cnbc-explains</v>
      </c>
    </row>
    <row r="661">
      <c r="A661" s="15" t="str">
        <f>IFERROR(__xludf.DUMMYFUNCTION("""COMPUTED_VALUE"""),"Führung durch Vision: The Power of Why")</f>
        <v>Führung durch Vision: The Power of Why</v>
      </c>
      <c r="B661" s="16" t="str">
        <f>IFERROR(__xludf.DUMMYFUNCTION("""COMPUTED_VALUE"""),"Leading Through Vision: The Power of Why")</f>
        <v>Leading Through Vision: The Power of Why</v>
      </c>
      <c r="C661" s="17" t="str">
        <f>IFERROR(__xludf.DUMMYFUNCTION("""COMPUTED_VALUE"""),"Erfolgreiche Menschen und Unternehmen werden von einem Zielbewusstsein angetrieben. In seinem Masterplan erklärt Simon Sinek, wie man im persönlichen und beruflichen Leben Erfüllung findet und wie man auf der Grundlage dieser Prinzipien eine erfolgreiche "&amp;"Organisation aufbaut.")</f>
        <v>Erfolgreiche Menschen und Unternehmen werden von einem Zielbewusstsein angetrieben. In seinem Masterplan erklärt Simon Sinek, wie man im persönlichen und beruflichen Leben Erfüllung findet und wie man auf der Grundlage dieser Prinzipien eine erfolgreiche Organisation aufbaut.</v>
      </c>
      <c r="D661" s="17" t="str">
        <f>IFERROR(__xludf.DUMMYFUNCTION("""COMPUTED_VALUE"""),"Successful people and businesses are driven by a sense of purpose. In his Masterplan, Simon Sinek explains how to find fulfillment in your personal and professional life, and how to build a successful organization based on these principles.")</f>
        <v>Successful people and businesses are driven by a sense of purpose. In his Masterplan, Simon Sinek explains how to find fulfillment in your personal and professional life, and how to build a successful organization based on these principles.</v>
      </c>
      <c r="E661" s="26" t="str">
        <f>IFERROR(__xludf.DUMMYFUNCTION("""COMPUTED_VALUE"""),"Collaboration and Leadership")</f>
        <v>Collaboration and Leadership</v>
      </c>
      <c r="F661" s="19" t="str">
        <f>IFERROR(__xludf.DUMMYFUNCTION("""COMPUTED_VALUE"""),"BigThink - Simon Sinek")</f>
        <v>BigThink - Simon Sinek</v>
      </c>
      <c r="G661" s="20">
        <f>IFERROR(__xludf.DUMMYFUNCTION("""COMPUTED_VALUE"""),29.0)</f>
        <v>29</v>
      </c>
      <c r="H661" s="20">
        <f>IFERROR(__xludf.DUMMYFUNCTION("""COMPUTED_VALUE"""),18.0)</f>
        <v>18</v>
      </c>
      <c r="I661" s="21" t="str">
        <f>IFERROR(__xludf.DUMMYFUNCTION("""COMPUTED_VALUE"""),"English, German")</f>
        <v>English, German</v>
      </c>
      <c r="J661" s="21" t="str">
        <f>IFERROR(__xludf.DUMMYFUNCTION("""COMPUTED_VALUE"""),"English")</f>
        <v>English</v>
      </c>
      <c r="K661" s="22">
        <f>IFERROR(__xludf.DUMMYFUNCTION("""COMPUTED_VALUE"""),43810.0)</f>
        <v>43810</v>
      </c>
      <c r="L661" s="23" t="str">
        <f>IFERROR(__xludf.DUMMYFUNCTION("""COMPUTED_VALUE"""),"https://masterplan.com/courses/power-of-why-powered-by-big-think")</f>
        <v>https://masterplan.com/courses/power-of-why-powered-by-big-think</v>
      </c>
    </row>
    <row r="662">
      <c r="A662" s="6" t="str">
        <f>IFERROR(__xludf.DUMMYFUNCTION("""COMPUTED_VALUE"""),"Bits &amp; Pretzels '19")</f>
        <v>Bits &amp; Pretzels '19</v>
      </c>
      <c r="B662" s="7" t="str">
        <f>IFERROR(__xludf.DUMMYFUNCTION("""COMPUTED_VALUE"""),"Bits &amp; Pretzels '19")</f>
        <v>Bits &amp; Pretzels '19</v>
      </c>
      <c r="C662" s="8" t="str">
        <f>IFERROR(__xludf.DUMMYFUNCTION("""COMPUTED_VALUE"""),"Bits &amp; Pretzels is a 3 day conference for founders, investors and startup enthusiasts. Remarkable entrepreneurs from all over the world as well as young aspiring entrepreneurs offer inspirations and insights into their work in exciting lectures and discus"&amp;"sions.")</f>
        <v>Bits &amp; Pretzels is a 3 day conference for founders, investors and startup enthusiasts. Remarkable entrepreneurs from all over the world as well as young aspiring entrepreneurs offer inspirations and insights into their work in exciting lectures and discussions.</v>
      </c>
      <c r="D662" s="8" t="str">
        <f>IFERROR(__xludf.DUMMYFUNCTION("""COMPUTED_VALUE"""),"Bits &amp; Pretzels is a 3-day conference for founders, investors and startup enthusiasts. Remarkable entrepreneurs from all over the world as well as young aspiring entrepreneurs offer inspiration and insights into their work in exciting lectures and discuss"&amp;"ions.")</f>
        <v>Bits &amp; Pretzels is a 3-day conference for founders, investors and startup enthusiasts. Remarkable entrepreneurs from all over the world as well as young aspiring entrepreneurs offer inspiration and insights into their work in exciting lectures and discussions.</v>
      </c>
      <c r="E662" s="9" t="str">
        <f>IFERROR(__xludf.DUMMYFUNCTION("""COMPUTED_VALUE"""),"Global Citizenship")</f>
        <v>Global Citizenship</v>
      </c>
      <c r="F662" s="10" t="str">
        <f>IFERROR(__xludf.DUMMYFUNCTION("""COMPUTED_VALUE"""),"Bits &amp; Pretzels")</f>
        <v>Bits &amp; Pretzels</v>
      </c>
      <c r="G662" s="11">
        <f>IFERROR(__xludf.DUMMYFUNCTION("""COMPUTED_VALUE"""),629.0)</f>
        <v>629</v>
      </c>
      <c r="H662" s="11">
        <f>IFERROR(__xludf.DUMMYFUNCTION("""COMPUTED_VALUE"""),27.0)</f>
        <v>27</v>
      </c>
      <c r="I662" s="12" t="str">
        <f>IFERROR(__xludf.DUMMYFUNCTION("""COMPUTED_VALUE"""),"English")</f>
        <v>English</v>
      </c>
      <c r="J662" s="12" t="str">
        <f>IFERROR(__xludf.DUMMYFUNCTION("""COMPUTED_VALUE"""),"English")</f>
        <v>English</v>
      </c>
      <c r="K662" s="13">
        <f>IFERROR(__xludf.DUMMYFUNCTION("""COMPUTED_VALUE"""),43804.0)</f>
        <v>43804</v>
      </c>
      <c r="L662" s="14" t="str">
        <f>IFERROR(__xludf.DUMMYFUNCTION("""COMPUTED_VALUE"""),"https://masterplan.com/courses/bits-and-pretzels-19")</f>
        <v>https://masterplan.com/courses/bits-and-pretzels-19</v>
      </c>
    </row>
    <row r="663">
      <c r="A663" s="15" t="str">
        <f>IFERROR(__xludf.DUMMYFUNCTION("""COMPUTED_VALUE"""),"SZ Wirtschaftsgipfel '19")</f>
        <v>SZ Wirtschaftsgipfel '19</v>
      </c>
      <c r="B663" s="16" t="str">
        <f>IFERROR(__xludf.DUMMYFUNCTION("""COMPUTED_VALUE"""),"SZ Economic Summit '19")</f>
        <v>SZ Economic Summit '19</v>
      </c>
      <c r="C663" s="17" t="str">
        <f>IFERROR(__xludf.DUMMYFUNCTION("""COMPUTED_VALUE"""),"Gemeinsam stark - das ist das Motto des SZ-Wirtschaftsgipfels 2019, denn in einer Welt, die immer mehr auseinander fällt, ist Zusammenhalt wichtiger denn je. Abwechslungsreiche Diskussionen &amp; Debatten werden von führenden Redakteuren der Süddeutschen Zeit"&amp;"ung moderiert.")</f>
        <v>Gemeinsam stark - das ist das Motto des SZ-Wirtschaftsgipfels 2019, denn in einer Welt, die immer mehr auseinander fällt, ist Zusammenhalt wichtiger denn je. Abwechslungsreiche Diskussionen &amp; Debatten werden von führenden Redakteuren der Süddeutschen Zeitung moderiert.</v>
      </c>
      <c r="D663" s="17" t="str">
        <f>IFERROR(__xludf.DUMMYFUNCTION("""COMPUTED_VALUE"""),"Strong together - that is the motto of the SZ Economic Summit 2019, because in a world that is falling apart more and more, cohesion is more important than ever. Diverse discussions and debates are moderated by leading editors of the Süddeutsche newspaper"&amp;" (SZ).")</f>
        <v>Strong together - that is the motto of the SZ Economic Summit 2019, because in a world that is falling apart more and more, cohesion is more important than ever. Diverse discussions and debates are moderated by leading editors of the Süddeutsche newspaper (SZ).</v>
      </c>
      <c r="E663" s="9" t="str">
        <f>IFERROR(__xludf.DUMMYFUNCTION("""COMPUTED_VALUE"""),"Global Citizenship")</f>
        <v>Global Citizenship</v>
      </c>
      <c r="F663" s="19" t="str">
        <f>IFERROR(__xludf.DUMMYFUNCTION("""COMPUTED_VALUE"""),"SZ Wirtschaftsgipfel")</f>
        <v>SZ Wirtschaftsgipfel</v>
      </c>
      <c r="G663" s="20">
        <f>IFERROR(__xludf.DUMMYFUNCTION("""COMPUTED_VALUE"""),919.0)</f>
        <v>919</v>
      </c>
      <c r="H663" s="20">
        <f>IFERROR(__xludf.DUMMYFUNCTION("""COMPUTED_VALUE"""),24.0)</f>
        <v>24</v>
      </c>
      <c r="I663" s="21" t="str">
        <f>IFERROR(__xludf.DUMMYFUNCTION("""COMPUTED_VALUE"""),"German")</f>
        <v>German</v>
      </c>
      <c r="J663" s="21" t="str">
        <f>IFERROR(__xludf.DUMMYFUNCTION("""COMPUTED_VALUE"""),"German")</f>
        <v>German</v>
      </c>
      <c r="K663" s="22">
        <f>IFERROR(__xludf.DUMMYFUNCTION("""COMPUTED_VALUE"""),43803.0)</f>
        <v>43803</v>
      </c>
      <c r="L663" s="23" t="str">
        <f>IFERROR(__xludf.DUMMYFUNCTION("""COMPUTED_VALUE"""),"https://masterplan.com/courses/sz-wirtschaftsgipfel-19")</f>
        <v>https://masterplan.com/courses/sz-wirtschaftsgipfel-19</v>
      </c>
    </row>
    <row r="664">
      <c r="A664" s="6" t="str">
        <f>IFERROR(__xludf.DUMMYFUNCTION("""COMPUTED_VALUE"""),"Rise of AI '19")</f>
        <v>Rise of AI '19</v>
      </c>
      <c r="B664" s="7" t="str">
        <f>IFERROR(__xludf.DUMMYFUNCTION("""COMPUTED_VALUE"""),"Rise of AI '19 - AI Evolution Stage")</f>
        <v>Rise of AI '19 - AI Evolution Stage</v>
      </c>
      <c r="C664" s="8" t="str">
        <f>IFERROR(__xludf.DUMMYFUNCTION("""COMPUTED_VALUE"""),"Rise of AI is one of the most important global conferences for AI. On the AI Evolution Stage speaker present their latest findings and approaches from AI research.")</f>
        <v>Rise of AI is one of the most important global conferences for AI. On the AI Evolution Stage speaker present their latest findings and approaches from AI research.</v>
      </c>
      <c r="D664" s="8" t="str">
        <f>IFERROR(__xludf.DUMMYFUNCTION("""COMPUTED_VALUE"""),"Rise of AI is one of the most important global conferences for AI. On the AI Evolution Stage, speakers present their findings and approaches from the lastest AI research.")</f>
        <v>Rise of AI is one of the most important global conferences for AI. On the AI Evolution Stage, speakers present their findings and approaches from the lastest AI research.</v>
      </c>
      <c r="E664" s="9" t="str">
        <f>IFERROR(__xludf.DUMMYFUNCTION("""COMPUTED_VALUE"""),"Global Citizenship")</f>
        <v>Global Citizenship</v>
      </c>
      <c r="F664" s="10" t="str">
        <f>IFERROR(__xludf.DUMMYFUNCTION("""COMPUTED_VALUE"""),"Asgard Capital Verwaltung GmbH")</f>
        <v>Asgard Capital Verwaltung GmbH</v>
      </c>
      <c r="G664" s="11">
        <f>IFERROR(__xludf.DUMMYFUNCTION("""COMPUTED_VALUE"""),675.0)</f>
        <v>675</v>
      </c>
      <c r="H664" s="11">
        <f>IFERROR(__xludf.DUMMYFUNCTION("""COMPUTED_VALUE"""),26.0)</f>
        <v>26</v>
      </c>
      <c r="I664" s="12" t="str">
        <f>IFERROR(__xludf.DUMMYFUNCTION("""COMPUTED_VALUE"""),"English")</f>
        <v>English</v>
      </c>
      <c r="J664" s="12" t="str">
        <f>IFERROR(__xludf.DUMMYFUNCTION("""COMPUTED_VALUE"""),"English")</f>
        <v>English</v>
      </c>
      <c r="K664" s="13">
        <f>IFERROR(__xludf.DUMMYFUNCTION("""COMPUTED_VALUE"""),43798.0)</f>
        <v>43798</v>
      </c>
      <c r="L664" s="14" t="str">
        <f>IFERROR(__xludf.DUMMYFUNCTION("""COMPUTED_VALUE"""),"https://masterplan.com/courses/rise-of-ai-19")</f>
        <v>https://masterplan.com/courses/rise-of-ai-19</v>
      </c>
    </row>
    <row r="665">
      <c r="A665" s="15" t="str">
        <f>IFERROR(__xludf.DUMMYFUNCTION("""COMPUTED_VALUE"""),"Stressmanagement")</f>
        <v>Stressmanagement</v>
      </c>
      <c r="B665" s="16" t="str">
        <f>IFERROR(__xludf.DUMMYFUNCTION("""COMPUTED_VALUE"""),"Stress Management")</f>
        <v>Stress Management</v>
      </c>
      <c r="C665" s="17" t="str">
        <f>IFERROR(__xludf.DUMMYFUNCTION("""COMPUTED_VALUE"""),"Ist Stress heute zum Lifestyle geworden? Stress-Experte Ulrich Oldehaver zeigt dir, wie du mit Tricks aus dem Stressmanagement deinen Stress in den Griff bekommen kannst, damit du Ruhe und Entspannung auch im beruflichen Alltag findest.")</f>
        <v>Ist Stress heute zum Lifestyle geworden? Stress-Experte Ulrich Oldehaver zeigt dir, wie du mit Tricks aus dem Stressmanagement deinen Stress in den Griff bekommen kannst, damit du Ruhe und Entspannung auch im beruflichen Alltag findest.</v>
      </c>
      <c r="D665" s="17" t="str">
        <f>IFERROR(__xludf.DUMMYFUNCTION("""COMPUTED_VALUE"""),"Has stress become a lifestyle? It is omnipresent and damaging to health. Stress expert Ulrich Oldehaver shows you how to get a grip on it. With stress management and a few simple tricks, you can find peace and relaxation in your professional life.")</f>
        <v>Has stress become a lifestyle? It is omnipresent and damaging to health. Stress expert Ulrich Oldehaver shows you how to get a grip on it. With stress management and a few simple tricks, you can find peace and relaxation in your professional life.</v>
      </c>
      <c r="E665" s="24" t="str">
        <f>IFERROR(__xludf.DUMMYFUNCTION("""COMPUTED_VALUE"""),"Emotional Intelligence")</f>
        <v>Emotional Intelligence</v>
      </c>
      <c r="F665" s="19" t="str">
        <f>IFERROR(__xludf.DUMMYFUNCTION("""COMPUTED_VALUE"""),"Masterplan com GmbH - Ulrich Oldehaver")</f>
        <v>Masterplan com GmbH - Ulrich Oldehaver</v>
      </c>
      <c r="G665" s="20">
        <f>IFERROR(__xludf.DUMMYFUNCTION("""COMPUTED_VALUE"""),30.0)</f>
        <v>30</v>
      </c>
      <c r="H665" s="20">
        <f>IFERROR(__xludf.DUMMYFUNCTION("""COMPUTED_VALUE"""),23.0)</f>
        <v>23</v>
      </c>
      <c r="I665" s="21" t="str">
        <f>IFERROR(__xludf.DUMMYFUNCTION("""COMPUTED_VALUE"""),"English, German")</f>
        <v>English, German</v>
      </c>
      <c r="J665" s="21" t="str">
        <f>IFERROR(__xludf.DUMMYFUNCTION("""COMPUTED_VALUE"""),"English, German")</f>
        <v>English, German</v>
      </c>
      <c r="K665" s="22">
        <f>IFERROR(__xludf.DUMMYFUNCTION("""COMPUTED_VALUE"""),43787.0)</f>
        <v>43787</v>
      </c>
      <c r="L665" s="23" t="str">
        <f>IFERROR(__xludf.DUMMYFUNCTION("""COMPUTED_VALUE"""),"https://masterplan.com/courses/stressmanagement")</f>
        <v>https://masterplan.com/courses/stressmanagement</v>
      </c>
    </row>
    <row r="666">
      <c r="A666" s="6" t="str">
        <f>IFERROR(__xludf.DUMMYFUNCTION("""COMPUTED_VALUE"""),"Zeitmanagement im Alltag")</f>
        <v>Zeitmanagement im Alltag</v>
      </c>
      <c r="B666" s="7" t="str">
        <f>IFERROR(__xludf.DUMMYFUNCTION("""COMPUTED_VALUE"""),"Do the Right Thing: Everyday Time Management")</f>
        <v>Do the Right Thing: Everyday Time Management</v>
      </c>
      <c r="C666" s="8" t="str">
        <f>IFERROR(__xludf.DUMMYFUNCTION("""COMPUTED_VALUE"""),"Zeitmanagement ist die Kunst, sich selbst und seine Zeit zu organisieren. Cordula Nussbaum zeigt, was alles zum Zeitmanagement gehört und wie wir - bezogen auf vier verschiedene Denktypen - unterschiedliche Methoden nutzen können, um mehr Zeit für das wir"&amp;"klich Wichtige zu haben.")</f>
        <v>Zeitmanagement ist die Kunst, sich selbst und seine Zeit zu organisieren. Cordula Nussbaum zeigt, was alles zum Zeitmanagement gehört und wie wir - bezogen auf vier verschiedene Denktypen - unterschiedliche Methoden nutzen können, um mehr Zeit für das wirklich Wichtige zu haben.</v>
      </c>
      <c r="D666" s="8" t="str">
        <f>IFERROR(__xludf.DUMMYFUNCTION("""COMPUTED_VALUE"""),"Time management is the art of organizing yourself and your time. Cordula Nussbaum shows what all belongs to time management and how we can use different methods - based on four different types of thinking - to have more time for what is really important.")</f>
        <v>Time management is the art of organizing yourself and your time. Cordula Nussbaum shows what all belongs to time management and how we can use different methods - based on four different types of thinking - to have more time for what is really important.</v>
      </c>
      <c r="E666" s="24" t="str">
        <f>IFERROR(__xludf.DUMMYFUNCTION("""COMPUTED_VALUE"""),"Emotional Intelligence")</f>
        <v>Emotional Intelligence</v>
      </c>
      <c r="F666" s="10" t="str">
        <f>IFERROR(__xludf.DUMMYFUNCTION("""COMPUTED_VALUE"""),"Masterplan com GmbH - Cordula Nussbaum")</f>
        <v>Masterplan com GmbH - Cordula Nussbaum</v>
      </c>
      <c r="G666" s="11">
        <f>IFERROR(__xludf.DUMMYFUNCTION("""COMPUTED_VALUE"""),51.0)</f>
        <v>51</v>
      </c>
      <c r="H666" s="11">
        <f>IFERROR(__xludf.DUMMYFUNCTION("""COMPUTED_VALUE"""),26.0)</f>
        <v>26</v>
      </c>
      <c r="I666" s="12" t="str">
        <f>IFERROR(__xludf.DUMMYFUNCTION("""COMPUTED_VALUE"""),"English, German")</f>
        <v>English, German</v>
      </c>
      <c r="J666" s="12" t="str">
        <f>IFERROR(__xludf.DUMMYFUNCTION("""COMPUTED_VALUE"""),"English, German")</f>
        <v>English, German</v>
      </c>
      <c r="K666" s="13">
        <f>IFERROR(__xludf.DUMMYFUNCTION("""COMPUTED_VALUE"""),43787.0)</f>
        <v>43787</v>
      </c>
      <c r="L666" s="14" t="str">
        <f>IFERROR(__xludf.DUMMYFUNCTION("""COMPUTED_VALUE"""),"https://masterplan.com/courses/zeitmanagement")</f>
        <v>https://masterplan.com/courses/zeitmanagement</v>
      </c>
    </row>
    <row r="667">
      <c r="A667" s="15" t="str">
        <f>IFERROR(__xludf.DUMMYFUNCTION("""COMPUTED_VALUE"""),"Gemeinsam besser werden: Die Working Out Loud Methode")</f>
        <v>Gemeinsam besser werden: Die Working Out Loud Methode</v>
      </c>
      <c r="B667" s="16" t="str">
        <f>IFERROR(__xludf.DUMMYFUNCTION("""COMPUTED_VALUE"""),"Working Out Loud: Coming Together, Getting Better")</f>
        <v>Working Out Loud: Coming Together, Getting Better</v>
      </c>
      <c r="C667" s="17" t="str">
        <f>IFERROR(__xludf.DUMMYFUNCTION("""COMPUTED_VALUE"""),"Working out Loud ist sowohl Lern- und Vernetzungsprogramm. Sabine Kluge hat bereits Unternehmen wie Bosch bei der Einführung von WOL begleitet. Sie zeigt dir, wie WOL funktioniert und lässt sich bei der ersten Sitzung mit ihrer WOL-Gruppe über die Schulte"&amp;"r schauen.")</f>
        <v>Working out Loud ist sowohl Lern- und Vernetzungsprogramm. Sabine Kluge hat bereits Unternehmen wie Bosch bei der Einführung von WOL begleitet. Sie zeigt dir, wie WOL funktioniert und lässt sich bei der ersten Sitzung mit ihrer WOL-Gruppe über die Schulter schauen.</v>
      </c>
      <c r="D667" s="17" t="str">
        <f>IFERROR(__xludf.DUMMYFUNCTION("""COMPUTED_VALUE"""),"Working Out Loud is both a learning and a networking program. Sabine Kluge has already guided companies like Bosch in the introduction of WOL. She shows you how WOL works and lets you look over her shoulder during the first session with her WOL group.")</f>
        <v>Working Out Loud is both a learning and a networking program. Sabine Kluge has already guided companies like Bosch in the introduction of WOL. She shows you how WOL works and lets you look over her shoulder during the first session with her WOL group.</v>
      </c>
      <c r="E667" s="18" t="str">
        <f>IFERROR(__xludf.DUMMYFUNCTION("""COMPUTED_VALUE"""),"Creativity and Innovation")</f>
        <v>Creativity and Innovation</v>
      </c>
      <c r="F667" s="19" t="str">
        <f>IFERROR(__xludf.DUMMYFUNCTION("""COMPUTED_VALUE"""),"Masterplan com GmbH - Sabine Kluge &amp; Co.")</f>
        <v>Masterplan com GmbH - Sabine Kluge &amp; Co.</v>
      </c>
      <c r="G667" s="20">
        <f>IFERROR(__xludf.DUMMYFUNCTION("""COMPUTED_VALUE"""),40.0)</f>
        <v>40</v>
      </c>
      <c r="H667" s="20">
        <f>IFERROR(__xludf.DUMMYFUNCTION("""COMPUTED_VALUE"""),15.0)</f>
        <v>15</v>
      </c>
      <c r="I667" s="21" t="str">
        <f>IFERROR(__xludf.DUMMYFUNCTION("""COMPUTED_VALUE"""),"English, German")</f>
        <v>English, German</v>
      </c>
      <c r="J667" s="21" t="str">
        <f>IFERROR(__xludf.DUMMYFUNCTION("""COMPUTED_VALUE"""),"English, German")</f>
        <v>English, German</v>
      </c>
      <c r="K667" s="22">
        <f>IFERROR(__xludf.DUMMYFUNCTION("""COMPUTED_VALUE"""),43783.0)</f>
        <v>43783</v>
      </c>
      <c r="L667" s="23" t="str">
        <f>IFERROR(__xludf.DUMMYFUNCTION("""COMPUTED_VALUE"""),"https://masterplan.com/courses/working-out-loud")</f>
        <v>https://masterplan.com/courses/working-out-loud</v>
      </c>
    </row>
    <row r="668">
      <c r="A668" s="6" t="str">
        <f>IFERROR(__xludf.DUMMYFUNCTION("""COMPUTED_VALUE"""),"Kommuniziere Kompetenz: Körpersprache zählt!")</f>
        <v>Kommuniziere Kompetenz: Körpersprache zählt!</v>
      </c>
      <c r="B668" s="7" t="str">
        <f>IFERROR(__xludf.DUMMYFUNCTION("""COMPUTED_VALUE"""),"Communicating Competence: Body Language Matters!")</f>
        <v>Communicating Competence: Body Language Matters!</v>
      </c>
      <c r="C668" s="8" t="str">
        <f>IFERROR(__xludf.DUMMYFUNCTION("""COMPUTED_VALUE"""),"Der erste Eindruck ist entscheidend. Aber lässt sich dieser revidieren? Und was hat die Sympathie deiner Person mit deiner Kompetenz zu tun? Die Experten für Körpersprache Monika Matschnig, Hartwig Eckert und Nadia Kevan haben Antworten.")</f>
        <v>Der erste Eindruck ist entscheidend. Aber lässt sich dieser revidieren? Und was hat die Sympathie deiner Person mit deiner Kompetenz zu tun? Die Experten für Körpersprache Monika Matschnig, Hartwig Eckert und Nadia Kevan haben Antworten.</v>
      </c>
      <c r="D668" s="8" t="str">
        <f>IFERROR(__xludf.DUMMYFUNCTION("""COMPUTED_VALUE"""),"The first impression is decisive. But can this impression be revised? And what does the sympathy of your person have to do with your competence? Body language experts Monika Matschnig, Hartwig Eckert, and Nadia Kevan have the answers.")</f>
        <v>The first impression is decisive. But can this impression be revised? And what does the sympathy of your person have to do with your competence? Body language experts Monika Matschnig, Hartwig Eckert, and Nadia Kevan have the answers.</v>
      </c>
      <c r="E668" s="28" t="str">
        <f>IFERROR(__xludf.DUMMYFUNCTION("""COMPUTED_VALUE"""),"Communication")</f>
        <v>Communication</v>
      </c>
      <c r="F668" s="10" t="str">
        <f>IFERROR(__xludf.DUMMYFUNCTION("""COMPUTED_VALUE"""),"Masterplan com GmbH - Monika Matschnig")</f>
        <v>Masterplan com GmbH - Monika Matschnig</v>
      </c>
      <c r="G668" s="11">
        <f>IFERROR(__xludf.DUMMYFUNCTION("""COMPUTED_VALUE"""),49.0)</f>
        <v>49</v>
      </c>
      <c r="H668" s="11">
        <f>IFERROR(__xludf.DUMMYFUNCTION("""COMPUTED_VALUE"""),26.0)</f>
        <v>26</v>
      </c>
      <c r="I668" s="12" t="str">
        <f>IFERROR(__xludf.DUMMYFUNCTION("""COMPUTED_VALUE"""),"English, German")</f>
        <v>English, German</v>
      </c>
      <c r="J668" s="12" t="str">
        <f>IFERROR(__xludf.DUMMYFUNCTION("""COMPUTED_VALUE"""),"English, German")</f>
        <v>English, German</v>
      </c>
      <c r="K668" s="13">
        <f>IFERROR(__xludf.DUMMYFUNCTION("""COMPUTED_VALUE"""),43768.0)</f>
        <v>43768</v>
      </c>
      <c r="L668" s="14" t="str">
        <f>IFERROR(__xludf.DUMMYFUNCTION("""COMPUTED_VALUE"""),"https://masterplan.com/courses/koerpersprache")</f>
        <v>https://masterplan.com/courses/koerpersprache</v>
      </c>
    </row>
    <row r="669">
      <c r="A669" s="15" t="str">
        <f>IFERROR(__xludf.DUMMYFUNCTION("""COMPUTED_VALUE"""),"Präsentieren")</f>
        <v>Präsentieren</v>
      </c>
      <c r="B669" s="16" t="str">
        <f>IFERROR(__xludf.DUMMYFUNCTION("""COMPUTED_VALUE"""),"Presentation Skills")</f>
        <v>Presentation Skills</v>
      </c>
      <c r="C669" s="17" t="str">
        <f>IFERROR(__xludf.DUMMYFUNCTION("""COMPUTED_VALUE"""),"Mit Präsentationen können wir andere von unseren Ideen begeistern und überzeugen. Wie sollte eine Präsentation aufgebaut sein, sodass sie leicht zugänglich ist? Und wie kann wirklich gutes Storytelling speziell im Unternehmenskontext gelingen?")</f>
        <v>Mit Präsentationen können wir andere von unseren Ideen begeistern und überzeugen. Wie sollte eine Präsentation aufgebaut sein, sodass sie leicht zugänglich ist? Und wie kann wirklich gutes Storytelling speziell im Unternehmenskontext gelingen?</v>
      </c>
      <c r="D669" s="17" t="str">
        <f>IFERROR(__xludf.DUMMYFUNCTION("""COMPUTED_VALUE"""),"With presentations, we can inspire and convince others of our ideas. How should a presentation be structured so that it is easily accessible? And how can really good storytelling succeed, especially in a corporate context?")</f>
        <v>With presentations, we can inspire and convince others of our ideas. How should a presentation be structured so that it is easily accessible? And how can really good storytelling succeed, especially in a corporate context?</v>
      </c>
      <c r="E669" s="28" t="str">
        <f>IFERROR(__xludf.DUMMYFUNCTION("""COMPUTED_VALUE"""),"Communication")</f>
        <v>Communication</v>
      </c>
      <c r="F669" s="19" t="str">
        <f>IFERROR(__xludf.DUMMYFUNCTION("""COMPUTED_VALUE"""),"Masterplan com GmbH - Frank Asmus &amp; Clara von Sydow ")</f>
        <v>Masterplan com GmbH - Frank Asmus &amp; Clara von Sydow </v>
      </c>
      <c r="G669" s="20">
        <f>IFERROR(__xludf.DUMMYFUNCTION("""COMPUTED_VALUE"""),46.0)</f>
        <v>46</v>
      </c>
      <c r="H669" s="20">
        <f>IFERROR(__xludf.DUMMYFUNCTION("""COMPUTED_VALUE"""),27.0)</f>
        <v>27</v>
      </c>
      <c r="I669" s="21" t="str">
        <f>IFERROR(__xludf.DUMMYFUNCTION("""COMPUTED_VALUE"""),"English, German")</f>
        <v>English, German</v>
      </c>
      <c r="J669" s="21" t="str">
        <f>IFERROR(__xludf.DUMMYFUNCTION("""COMPUTED_VALUE"""),"English, German")</f>
        <v>English, German</v>
      </c>
      <c r="K669" s="22">
        <f>IFERROR(__xludf.DUMMYFUNCTION("""COMPUTED_VALUE"""),43768.0)</f>
        <v>43768</v>
      </c>
      <c r="L669" s="23" t="str">
        <f>IFERROR(__xludf.DUMMYFUNCTION("""COMPUTED_VALUE"""),"https://masterplan.com/courses/praesentieren")</f>
        <v>https://masterplan.com/courses/praesentieren</v>
      </c>
    </row>
    <row r="670">
      <c r="A670" s="6" t="str">
        <f>IFERROR(__xludf.DUMMYFUNCTION("""COMPUTED_VALUE"""),"Rhetorik")</f>
        <v>Rhetorik</v>
      </c>
      <c r="B670" s="7" t="str">
        <f>IFERROR(__xludf.DUMMYFUNCTION("""COMPUTED_VALUE"""),"Rhetoric")</f>
        <v>Rhetoric</v>
      </c>
      <c r="C670" s="8" t="str">
        <f>IFERROR(__xludf.DUMMYFUNCTION("""COMPUTED_VALUE"""),"Rhetorik ist die Kunst des Redens. Sie macht Stimmung und schafft Meinungen. Rhetorik bewegt und schreckt ab. Sie berührt, wiegelt auf und überzeugt mit starken Argumenten. Rhetorik-Trainer Michael Rossié zeigt dir in diesem Kurs, wie du andere allein mit"&amp;" der Kraft der Worte in deinem beruflichen Alltag überzeugen kannst.")</f>
        <v>Rhetorik ist die Kunst des Redens. Sie macht Stimmung und schafft Meinungen. Rhetorik bewegt und schreckt ab. Sie berührt, wiegelt auf und überzeugt mit starken Argumenten. Rhetorik-Trainer Michael Rossié zeigt dir in diesem Kurs, wie du andere allein mit der Kraft der Worte in deinem beruflichen Alltag überzeugen kannst.</v>
      </c>
      <c r="D670" s="8" t="str">
        <f>IFERROR(__xludf.DUMMYFUNCTION("""COMPUTED_VALUE"""),"Rhetoric is the art of speaking. It sets the mood and creates opinions. It touches, arouses, and convinces with strong arguments. In this course, rhetoric trainer Michael Rossié will show you how you can convince others in your professional life with the "&amp;"power of words.")</f>
        <v>Rhetoric is the art of speaking. It sets the mood and creates opinions. It touches, arouses, and convinces with strong arguments. In this course, rhetoric trainer Michael Rossié will show you how you can convince others in your professional life with the power of words.</v>
      </c>
      <c r="E670" s="28" t="str">
        <f>IFERROR(__xludf.DUMMYFUNCTION("""COMPUTED_VALUE"""),"Communication")</f>
        <v>Communication</v>
      </c>
      <c r="F670" s="10" t="str">
        <f>IFERROR(__xludf.DUMMYFUNCTION("""COMPUTED_VALUE"""),"Masterplan com GmbH - Michael Rossié")</f>
        <v>Masterplan com GmbH - Michael Rossié</v>
      </c>
      <c r="G670" s="11">
        <f>IFERROR(__xludf.DUMMYFUNCTION("""COMPUTED_VALUE"""),49.0)</f>
        <v>49</v>
      </c>
      <c r="H670" s="11">
        <f>IFERROR(__xludf.DUMMYFUNCTION("""COMPUTED_VALUE"""),21.0)</f>
        <v>21</v>
      </c>
      <c r="I670" s="12" t="str">
        <f>IFERROR(__xludf.DUMMYFUNCTION("""COMPUTED_VALUE"""),"English, German")</f>
        <v>English, German</v>
      </c>
      <c r="J670" s="12" t="str">
        <f>IFERROR(__xludf.DUMMYFUNCTION("""COMPUTED_VALUE"""),"English, German")</f>
        <v>English, German</v>
      </c>
      <c r="K670" s="13">
        <f>IFERROR(__xludf.DUMMYFUNCTION("""COMPUTED_VALUE"""),43768.0)</f>
        <v>43768</v>
      </c>
      <c r="L670" s="14" t="str">
        <f>IFERROR(__xludf.DUMMYFUNCTION("""COMPUTED_VALUE"""),"https://masterplan.com/courses/rhetorik")</f>
        <v>https://masterplan.com/courses/rhetorik</v>
      </c>
    </row>
    <row r="671">
      <c r="A671" s="15" t="str">
        <f>IFERROR(__xludf.DUMMYFUNCTION("""COMPUTED_VALUE"""),"Mobilität in Bewegung: Der Wandel in der Mobilitätsindustrie")</f>
        <v>Mobilität in Bewegung: Der Wandel in der Mobilitätsindustrie</v>
      </c>
      <c r="B671" s="16" t="str">
        <f>IFERROR(__xludf.DUMMYFUNCTION("""COMPUTED_VALUE"""),"Moving Mobility: Changes in the Mobility Industry")</f>
        <v>Moving Mobility: Changes in the Mobility Industry</v>
      </c>
      <c r="C671" s="17" t="str">
        <f>IFERROR(__xludf.DUMMYFUNCTION("""COMPUTED_VALUE"""),"Daniels Unternehmen FlixMobility hat erfolgreich ein klassisches Geschäftsmodell der Mobilitätsbranche digitalisiert. In seinem Masterplan lernst du, welche Auswirkungen die Digitalisierung in dieser Branche schon heute hat und welche Entwicklungen sich a"&amp;"bzeichnen.")</f>
        <v>Daniels Unternehmen FlixMobility hat erfolgreich ein klassisches Geschäftsmodell der Mobilitätsbranche digitalisiert. In seinem Masterplan lernst du, welche Auswirkungen die Digitalisierung in dieser Branche schon heute hat und welche Entwicklungen sich abzeichnen.</v>
      </c>
      <c r="D671" s="17" t="str">
        <f>IFERROR(__xludf.DUMMYFUNCTION("""COMPUTED_VALUE"""),"Daniel's company FlixMobility has successfully digitalized a classic business model of the mobility industry. In his Masterplan, you'll learn about the impact that digitalization is already having on the industry today and what developments are emerging.")</f>
        <v>Daniel's company FlixMobility has successfully digitalized a classic business model of the mobility industry. In his Masterplan, you'll learn about the impact that digitalization is already having on the industry today and what developments are emerging.</v>
      </c>
      <c r="E671" s="25" t="str">
        <f>IFERROR(__xludf.DUMMYFUNCTION("""COMPUTED_VALUE"""),"Digital Literacy")</f>
        <v>Digital Literacy</v>
      </c>
      <c r="F671" s="19" t="str">
        <f>IFERROR(__xludf.DUMMYFUNCTION("""COMPUTED_VALUE"""),"Masterplan com GmbH - Daniel Krauss")</f>
        <v>Masterplan com GmbH - Daniel Krauss</v>
      </c>
      <c r="G671" s="20">
        <f>IFERROR(__xludf.DUMMYFUNCTION("""COMPUTED_VALUE"""),12.0)</f>
        <v>12</v>
      </c>
      <c r="H671" s="20">
        <f>IFERROR(__xludf.DUMMYFUNCTION("""COMPUTED_VALUE"""),12.0)</f>
        <v>12</v>
      </c>
      <c r="I671" s="21" t="str">
        <f>IFERROR(__xludf.DUMMYFUNCTION("""COMPUTED_VALUE"""),"English, German")</f>
        <v>English, German</v>
      </c>
      <c r="J671" s="21" t="str">
        <f>IFERROR(__xludf.DUMMYFUNCTION("""COMPUTED_VALUE"""),"English")</f>
        <v>English</v>
      </c>
      <c r="K671" s="22">
        <f>IFERROR(__xludf.DUMMYFUNCTION("""COMPUTED_VALUE"""),43763.0)</f>
        <v>43763</v>
      </c>
      <c r="L671" s="23" t="str">
        <f>IFERROR(__xludf.DUMMYFUNCTION("""COMPUTED_VALUE"""),"https://masterplan.com/courses/mobilitaet-im-wandel")</f>
        <v>https://masterplan.com/courses/mobilitaet-im-wandel</v>
      </c>
    </row>
    <row r="672">
      <c r="A672" s="6" t="str">
        <f>IFERROR(__xludf.DUMMYFUNCTION("""COMPUTED_VALUE"""),"Boma Germany '19")</f>
        <v>Boma Germany '19</v>
      </c>
      <c r="B672" s="7" t="str">
        <f>IFERROR(__xludf.DUMMYFUNCTION("""COMPUTED_VALUE"""),"Boma Germany '19")</f>
        <v>Boma Germany '19</v>
      </c>
      <c r="C672" s="8" t="str">
        <f>IFERROR(__xludf.DUMMYFUNCTION("""COMPUTED_VALUE"""),"Boma Germany 2019 in Berlin - check out Germany's first international summit on business transformation &amp; exponential thinking.")</f>
        <v>Boma Germany 2019 in Berlin - check out Germany's first international summit on business transformation &amp; exponential thinking.</v>
      </c>
      <c r="D672" s="8" t="str">
        <f>IFERROR(__xludf.DUMMYFUNCTION("""COMPUTED_VALUE"""),"Boma Germany 2019 in Berlin: check out Germany's first international summit on business transformation &amp; exponential thinking.")</f>
        <v>Boma Germany 2019 in Berlin: check out Germany's first international summit on business transformation &amp; exponential thinking.</v>
      </c>
      <c r="E672" s="9" t="str">
        <f>IFERROR(__xludf.DUMMYFUNCTION("""COMPUTED_VALUE"""),"Global Citizenship")</f>
        <v>Global Citizenship</v>
      </c>
      <c r="F672" s="10" t="str">
        <f>IFERROR(__xludf.DUMMYFUNCTION("""COMPUTED_VALUE"""),"Boma Germany")</f>
        <v>Boma Germany</v>
      </c>
      <c r="G672" s="11">
        <f>IFERROR(__xludf.DUMMYFUNCTION("""COMPUTED_VALUE"""),449.0)</f>
        <v>449</v>
      </c>
      <c r="H672" s="11">
        <f>IFERROR(__xludf.DUMMYFUNCTION("""COMPUTED_VALUE"""),15.0)</f>
        <v>15</v>
      </c>
      <c r="I672" s="12" t="str">
        <f>IFERROR(__xludf.DUMMYFUNCTION("""COMPUTED_VALUE"""),"English")</f>
        <v>English</v>
      </c>
      <c r="J672" s="12" t="str">
        <f>IFERROR(__xludf.DUMMYFUNCTION("""COMPUTED_VALUE"""),"English")</f>
        <v>English</v>
      </c>
      <c r="K672" s="13">
        <f>IFERROR(__xludf.DUMMYFUNCTION("""COMPUTED_VALUE"""),43760.0)</f>
        <v>43760</v>
      </c>
      <c r="L672" s="14" t="str">
        <f>IFERROR(__xludf.DUMMYFUNCTION("""COMPUTED_VALUE"""),"https://masterplan.com/courses/boma-germany-19")</f>
        <v>https://masterplan.com/courses/boma-germany-19</v>
      </c>
    </row>
    <row r="673">
      <c r="A673" s="15" t="str">
        <f>IFERROR(__xludf.DUMMYFUNCTION("""COMPUTED_VALUE"""),"Effizienz und Kundenfokus: Das Geheimnis der Emma GmbH (Case Study)")</f>
        <v>Effizienz und Kundenfokus: Das Geheimnis der Emma GmbH (Case Study)</v>
      </c>
      <c r="B673" s="16" t="str">
        <f>IFERROR(__xludf.DUMMYFUNCTION("""COMPUTED_VALUE"""),"Efficiency and Customer Focus: Emma's Secrets (Case study)")</f>
        <v>Efficiency and Customer Focus: Emma's Secrets (Case study)</v>
      </c>
      <c r="C673" s="17" t="str">
        <f>IFERROR(__xludf.DUMMYFUNCTION("""COMPUTED_VALUE"""),"Die Emma Matratze ist dir bestimmt schon mal über den Weg gelaufen, vielleicht im Zusammenhang mit Lena Meyer-Landrut bzw. in der TV-Werbung? Falls nicht, dann wird sie das mit Sicherheit in naher Zukunft, denn das Unternehmen zählt zu den schnellst wachs"&amp;"enden Startups Europas. Max Laarmann lüftet mit 3 konkreten Tipps das Geheimnis des Erfolges von der Emma GmbH.")</f>
        <v>Die Emma Matratze ist dir bestimmt schon mal über den Weg gelaufen, vielleicht im Zusammenhang mit Lena Meyer-Landrut bzw. in der TV-Werbung? Falls nicht, dann wird sie das mit Sicherheit in naher Zukunft, denn das Unternehmen zählt zu den schnellst wachsenden Startups Europas. Max Laarmann lüftet mit 3 konkreten Tipps das Geheimnis des Erfolges von der Emma GmbH.</v>
      </c>
      <c r="D673" s="17" t="str">
        <f>IFERROR(__xludf.DUMMYFUNCTION("""COMPUTED_VALUE"""),"You've probably come across the Emma mattress, perhaps in connection with Lena Meyer-Landrut or in TV ads? If not, you will, because the company is one of the fastest growing startups in Europe. Max Laarmann reveals the secret of the success of Emma GmbH.")</f>
        <v>You've probably come across the Emma mattress, perhaps in connection with Lena Meyer-Landrut or in TV ads? If not, you will, because the company is one of the fastest growing startups in Europe. Max Laarmann reveals the secret of the success of Emma GmbH.</v>
      </c>
      <c r="E673" s="26" t="str">
        <f>IFERROR(__xludf.DUMMYFUNCTION("""COMPUTED_VALUE"""),"Collaboration and Leadership")</f>
        <v>Collaboration and Leadership</v>
      </c>
      <c r="F673" s="19" t="str">
        <f>IFERROR(__xludf.DUMMYFUNCTION("""COMPUTED_VALUE"""),"Masterplan com GmbH - Max Laarmann")</f>
        <v>Masterplan com GmbH - Max Laarmann</v>
      </c>
      <c r="G673" s="20">
        <f>IFERROR(__xludf.DUMMYFUNCTION("""COMPUTED_VALUE"""),22.0)</f>
        <v>22</v>
      </c>
      <c r="H673" s="20">
        <f>IFERROR(__xludf.DUMMYFUNCTION("""COMPUTED_VALUE"""),13.0)</f>
        <v>13</v>
      </c>
      <c r="I673" s="21" t="str">
        <f>IFERROR(__xludf.DUMMYFUNCTION("""COMPUTED_VALUE"""),"English, German")</f>
        <v>English, German</v>
      </c>
      <c r="J673" s="21" t="str">
        <f>IFERROR(__xludf.DUMMYFUNCTION("""COMPUTED_VALUE"""),"German")</f>
        <v>German</v>
      </c>
      <c r="K673" s="22">
        <f>IFERROR(__xludf.DUMMYFUNCTION("""COMPUTED_VALUE"""),43753.0)</f>
        <v>43753</v>
      </c>
      <c r="L673" s="23" t="str">
        <f>IFERROR(__xludf.DUMMYFUNCTION("""COMPUTED_VALUE"""),"https://masterplan.com/courses/das-geheimnis-der-emma-gmbh")</f>
        <v>https://masterplan.com/courses/das-geheimnis-der-emma-gmbh</v>
      </c>
    </row>
    <row r="674">
      <c r="A674" s="6" t="str">
        <f>IFERROR(__xludf.DUMMYFUNCTION("""COMPUTED_VALUE"""),"Kundenzentrierung")</f>
        <v>Kundenzentrierung</v>
      </c>
      <c r="B674" s="7" t="str">
        <f>IFERROR(__xludf.DUMMYFUNCTION("""COMPUTED_VALUE"""),"Customer Centricity")</f>
        <v>Customer Centricity</v>
      </c>
      <c r="C674" s="8" t="str">
        <f>IFERROR(__xludf.DUMMYFUNCTION("""COMPUTED_VALUE"""),"Wir befinden uns im Zeitalter des Kunden und die Mehrheit der Unternehmen versteht sich selbst als “kundenzentriert” - aber was bedeutet das eigentlich wirklich? Dieser Kurs nimmt dich mit auf die Reise durch die letzten 20 Jahre und erklärt den Paradigme"&amp;"nwechsel.")</f>
        <v>Wir befinden uns im Zeitalter des Kunden und die Mehrheit der Unternehmen versteht sich selbst als “kundenzentriert” - aber was bedeutet das eigentlich wirklich? Dieser Kurs nimmt dich mit auf die Reise durch die letzten 20 Jahre und erklärt den Paradigmenwechsel.</v>
      </c>
      <c r="D674" s="8" t="str">
        <f>IFERROR(__xludf.DUMMYFUNCTION("""COMPUTED_VALUE"""),"We live in the age of the customer and the majority of companies see themselves as ""customer-centric"": but what does that really mean? This course takes you on a journey through the last 20 years and explains the paradigm shift.")</f>
        <v>We live in the age of the customer and the majority of companies see themselves as "customer-centric": but what does that really mean? This course takes you on a journey through the last 20 years and explains the paradigm shift.</v>
      </c>
      <c r="E674" s="18" t="str">
        <f>IFERROR(__xludf.DUMMYFUNCTION("""COMPUTED_VALUE"""),"Creativity and Innovation")</f>
        <v>Creativity and Innovation</v>
      </c>
      <c r="F674" s="10" t="str">
        <f>IFERROR(__xludf.DUMMYFUNCTION("""COMPUTED_VALUE"""),"Masterplan com GmbH")</f>
        <v>Masterplan com GmbH</v>
      </c>
      <c r="G674" s="11">
        <f>IFERROR(__xludf.DUMMYFUNCTION("""COMPUTED_VALUE"""),147.0)</f>
        <v>147</v>
      </c>
      <c r="H674" s="11">
        <f>IFERROR(__xludf.DUMMYFUNCTION("""COMPUTED_VALUE"""),45.0)</f>
        <v>45</v>
      </c>
      <c r="I674" s="12" t="str">
        <f>IFERROR(__xludf.DUMMYFUNCTION("""COMPUTED_VALUE"""),"English, German")</f>
        <v>English, German</v>
      </c>
      <c r="J674" s="12" t="str">
        <f>IFERROR(__xludf.DUMMYFUNCTION("""COMPUTED_VALUE"""),"German")</f>
        <v>German</v>
      </c>
      <c r="K674" s="13">
        <f>IFERROR(__xludf.DUMMYFUNCTION("""COMPUTED_VALUE"""),43749.0)</f>
        <v>43749</v>
      </c>
      <c r="L674" s="14" t="str">
        <f>IFERROR(__xludf.DUMMYFUNCTION("""COMPUTED_VALUE"""),"https://masterplan.com/courses/kundenzentrierung")</f>
        <v>https://masterplan.com/courses/kundenzentrierung</v>
      </c>
    </row>
    <row r="675">
      <c r="A675" s="15" t="str">
        <f>IFERROR(__xludf.DUMMYFUNCTION("""COMPUTED_VALUE"""),"How to become an E-Learner")</f>
        <v>How to become an E-Learner</v>
      </c>
      <c r="B675" s="16" t="str">
        <f>IFERROR(__xludf.DUMMYFUNCTION("""COMPUTED_VALUE"""),"How to Become an E-Learner")</f>
        <v>How to Become an E-Learner</v>
      </c>
      <c r="C675" s="17" t="str">
        <f>IFERROR(__xludf.DUMMYFUNCTION("""COMPUTED_VALUE"""),"Unsere Welt und Jobs ändern sich stetig. Demnach wird lebenslanges Lernen immer wichtiger. Online-Lernen ist die perfekte Lösung: Du lernst, was du brauchst, wann und wo immer du willst. Schau dir an, wie du in drei einfachen Schritten zum erfolgreichen “"&amp;"E-Learner” wirst!")</f>
        <v>Unsere Welt und Jobs ändern sich stetig. Demnach wird lebenslanges Lernen immer wichtiger. Online-Lernen ist die perfekte Lösung: Du lernst, was du brauchst, wann und wo immer du willst. Schau dir an, wie du in drei einfachen Schritten zum erfolgreichen “E-Learner” wirst!</v>
      </c>
      <c r="D675" s="17" t="str">
        <f>IFERROR(__xludf.DUMMYFUNCTION("""COMPUTED_VALUE"""),"Our world and jobs are constantly changing. Lifelong learning is therefore becoming increasingly important. E-Learning is the perfect solution: you learn what you need, when and wherever you want. See how to become a successful E-Learner in three easy ste"&amp;"ps!")</f>
        <v>Our world and jobs are constantly changing. Lifelong learning is therefore becoming increasingly important. E-Learning is the perfect solution: you learn what you need, when and wherever you want. See how to become a successful E-Learner in three easy steps!</v>
      </c>
      <c r="E675" s="18" t="str">
        <f>IFERROR(__xludf.DUMMYFUNCTION("""COMPUTED_VALUE"""),"Creativity and Innovation")</f>
        <v>Creativity and Innovation</v>
      </c>
      <c r="F675" s="19" t="str">
        <f>IFERROR(__xludf.DUMMYFUNCTION("""COMPUTED_VALUE"""),"Masterplan com GmbH")</f>
        <v>Masterplan com GmbH</v>
      </c>
      <c r="G675" s="20">
        <f>IFERROR(__xludf.DUMMYFUNCTION("""COMPUTED_VALUE"""),3.0)</f>
        <v>3</v>
      </c>
      <c r="H675" s="20">
        <f>IFERROR(__xludf.DUMMYFUNCTION("""COMPUTED_VALUE"""),1.0)</f>
        <v>1</v>
      </c>
      <c r="I675" s="21" t="str">
        <f>IFERROR(__xludf.DUMMYFUNCTION("""COMPUTED_VALUE"""),"English, German")</f>
        <v>English, German</v>
      </c>
      <c r="J675" s="21" t="str">
        <f>IFERROR(__xludf.DUMMYFUNCTION("""COMPUTED_VALUE"""),"English, German")</f>
        <v>English, German</v>
      </c>
      <c r="K675" s="22">
        <f>IFERROR(__xludf.DUMMYFUNCTION("""COMPUTED_VALUE"""),43748.0)</f>
        <v>43748</v>
      </c>
      <c r="L675" s="23" t="str">
        <f>IFERROR(__xludf.DUMMYFUNCTION("""COMPUTED_VALUE"""),"https://masterplan.com/courses/how-to-become-an-e-learner")</f>
        <v>https://masterplan.com/courses/how-to-become-an-e-learner</v>
      </c>
    </row>
    <row r="676">
      <c r="A676" s="6" t="str">
        <f>IFERROR(__xludf.DUMMYFUNCTION("""COMPUTED_VALUE"""),"Lernen, ein Leben lang")</f>
        <v>Lernen, ein Leben lang</v>
      </c>
      <c r="B676" s="7" t="str">
        <f>IFERROR(__xludf.DUMMYFUNCTION("""COMPUTED_VALUE"""),"Learning for Life")</f>
        <v>Learning for Life</v>
      </c>
      <c r="C676" s="8" t="str">
        <f>IFERROR(__xludf.DUMMYFUNCTION("""COMPUTED_VALUE"""),"Ask me Anything - mit Thomas Tillmann. Im Gespräch mit zwei Schülerinnen, einer ehemaligen Lehrerin und einer Führungskraft spricht der Lernexperte über das Thema Lernen. Aber aufgepasst - die Zeit ist begrenzt! Jede Frage darf nur 90 Sekunden diskutiert "&amp;"werden.")</f>
        <v>Ask me Anything - mit Thomas Tillmann. Im Gespräch mit zwei Schülerinnen, einer ehemaligen Lehrerin und einer Führungskraft spricht der Lernexperte über das Thema Lernen. Aber aufgepasst - die Zeit ist begrenzt! Jede Frage darf nur 90 Sekunden diskutiert werden.</v>
      </c>
      <c r="D676" s="8" t="str">
        <f>IFERROR(__xludf.DUMMYFUNCTION("""COMPUTED_VALUE"""),"Ask Me Anything with Thomas Tillmann. In conversation with two students, a former teacher and a manager, the learning expert talks about learning. But watch out - time is limited! Each question can only be discussed for 90 seconds.")</f>
        <v>Ask Me Anything with Thomas Tillmann. In conversation with two students, a former teacher and a manager, the learning expert talks about learning. But watch out - time is limited! Each question can only be discussed for 90 seconds.</v>
      </c>
      <c r="E676" s="18" t="str">
        <f>IFERROR(__xludf.DUMMYFUNCTION("""COMPUTED_VALUE"""),"Creativity and Innovation")</f>
        <v>Creativity and Innovation</v>
      </c>
      <c r="F676" s="10" t="str">
        <f>IFERROR(__xludf.DUMMYFUNCTION("""COMPUTED_VALUE"""),"Masterplan com GmbH - Dr. Thomas Tillmann")</f>
        <v>Masterplan com GmbH - Dr. Thomas Tillmann</v>
      </c>
      <c r="G676" s="11">
        <f>IFERROR(__xludf.DUMMYFUNCTION("""COMPUTED_VALUE"""),19.0)</f>
        <v>19</v>
      </c>
      <c r="H676" s="11">
        <f>IFERROR(__xludf.DUMMYFUNCTION("""COMPUTED_VALUE"""),4.0)</f>
        <v>4</v>
      </c>
      <c r="I676" s="12" t="str">
        <f>IFERROR(__xludf.DUMMYFUNCTION("""COMPUTED_VALUE"""),"English, German")</f>
        <v>English, German</v>
      </c>
      <c r="J676" s="12" t="str">
        <f>IFERROR(__xludf.DUMMYFUNCTION("""COMPUTED_VALUE"""),"German")</f>
        <v>German</v>
      </c>
      <c r="K676" s="13">
        <f>IFERROR(__xludf.DUMMYFUNCTION("""COMPUTED_VALUE"""),43745.0)</f>
        <v>43745</v>
      </c>
      <c r="L676" s="14" t="str">
        <f>IFERROR(__xludf.DUMMYFUNCTION("""COMPUTED_VALUE"""),"https://masterplan.com/courses/ask-me-anything")</f>
        <v>https://masterplan.com/courses/ask-me-anything</v>
      </c>
    </row>
    <row r="677">
      <c r="A677" s="15" t="str">
        <f>IFERROR(__xludf.DUMMYFUNCTION("""COMPUTED_VALUE"""),"Radikale Innovation: Scheitern und Erfolg")</f>
        <v>Radikale Innovation: Scheitern und Erfolg</v>
      </c>
      <c r="B677" s="16" t="str">
        <f>IFERROR(__xludf.DUMMYFUNCTION("""COMPUTED_VALUE"""),"Radical Innovation: Skating to Success")</f>
        <v>Radical Innovation: Skating to Success</v>
      </c>
      <c r="C677" s="17" t="str">
        <f>IFERROR(__xludf.DUMMYFUNCTION("""COMPUTED_VALUE"""),"Wie Frank Thelen es geschafft hat, seine radikalen Ideen in erfolgreiche Geschäftsmodelle zu wandeln, erfährst du im Masterplan zum Thema radikale Innovationen. Frank gibt dir Einblicke in seine persönliche Erfolgsstory und zeigt, was das Skateboarding mi"&amp;"t dem Thema zu tun hat.")</f>
        <v>Wie Frank Thelen es geschafft hat, seine radikalen Ideen in erfolgreiche Geschäftsmodelle zu wandeln, erfährst du im Masterplan zum Thema radikale Innovationen. Frank gibt dir Einblicke in seine persönliche Erfolgsstory und zeigt, was das Skateboarding mit dem Thema zu tun hat.</v>
      </c>
      <c r="D677" s="17" t="str">
        <f>IFERROR(__xludf.DUMMYFUNCTION("""COMPUTED_VALUE"""),"You can find out how Frank Thelen managed to turn his radical ideas into successful business models in his Masterplan on radical innovations. Frank gives you an insight into his personal success story and shows what skateboarding has to do with the topic.")</f>
        <v>You can find out how Frank Thelen managed to turn his radical ideas into successful business models in his Masterplan on radical innovations. Frank gives you an insight into his personal success story and shows what skateboarding has to do with the topic.</v>
      </c>
      <c r="E677" s="18" t="str">
        <f>IFERROR(__xludf.DUMMYFUNCTION("""COMPUTED_VALUE"""),"Creativity and Innovation")</f>
        <v>Creativity and Innovation</v>
      </c>
      <c r="F677" s="19" t="str">
        <f>IFERROR(__xludf.DUMMYFUNCTION("""COMPUTED_VALUE"""),"Masterplan com GmbH - Frank Thelen")</f>
        <v>Masterplan com GmbH - Frank Thelen</v>
      </c>
      <c r="G677" s="20">
        <f>IFERROR(__xludf.DUMMYFUNCTION("""COMPUTED_VALUE"""),30.0)</f>
        <v>30</v>
      </c>
      <c r="H677" s="20">
        <f>IFERROR(__xludf.DUMMYFUNCTION("""COMPUTED_VALUE"""),12.0)</f>
        <v>12</v>
      </c>
      <c r="I677" s="21" t="str">
        <f>IFERROR(__xludf.DUMMYFUNCTION("""COMPUTED_VALUE"""),"English, German")</f>
        <v>English, German</v>
      </c>
      <c r="J677" s="21" t="str">
        <f>IFERROR(__xludf.DUMMYFUNCTION("""COMPUTED_VALUE"""),"German")</f>
        <v>German</v>
      </c>
      <c r="K677" s="22">
        <f>IFERROR(__xludf.DUMMYFUNCTION("""COMPUTED_VALUE"""),43739.0)</f>
        <v>43739</v>
      </c>
      <c r="L677" s="23" t="str">
        <f>IFERROR(__xludf.DUMMYFUNCTION("""COMPUTED_VALUE"""),"https://masterplan.com/courses/radikale-innovation")</f>
        <v>https://masterplan.com/courses/radikale-innovation</v>
      </c>
    </row>
    <row r="678">
      <c r="A678" s="6" t="str">
        <f>IFERROR(__xludf.DUMMYFUNCTION("""COMPUTED_VALUE"""),"Die besten Mitarbeiter finden mit People Analytics")</f>
        <v>Die besten Mitarbeiter finden mit People Analytics</v>
      </c>
      <c r="B678" s="7" t="str">
        <f>IFERROR(__xludf.DUMMYFUNCTION("""COMPUTED_VALUE"""),"Find, Grow, Keep: People Analytics for Better HR")</f>
        <v>Find, Grow, Keep: People Analytics for Better HR</v>
      </c>
      <c r="C678" s="8" t="str">
        <f>IFERROR(__xludf.DUMMYFUNCTION("""COMPUTED_VALUE"""),"Die digitale Transformation macht auch vor dem Personalwesen keinen Halt. Deshalb solltest du People Analytics unbedingt in deine Unternehmensstrategie integrieren. Wie das funktioniert und warum Daten wichtiger sind als ein Kicker-Tisch erklärt Simon dir"&amp;" in diesem Kurs.")</f>
        <v>Die digitale Transformation macht auch vor dem Personalwesen keinen Halt. Deshalb solltest du People Analytics unbedingt in deine Unternehmensstrategie integrieren. Wie das funktioniert und warum Daten wichtiger sind als ein Kicker-Tisch erklärt Simon dir in diesem Kurs.</v>
      </c>
      <c r="D678" s="8" t="str">
        <f>IFERROR(__xludf.DUMMYFUNCTION("""COMPUTED_VALUE"""),"Digital transformation does not stop when it comes to human resources. Therefore, you should definitely integrate ""people analytics"" into your corporate strategy. In this course, Simon explains how this works and why data is more important than a footba"&amp;"ll table.")</f>
        <v>Digital transformation does not stop when it comes to human resources. Therefore, you should definitely integrate "people analytics" into your corporate strategy. In this course, Simon explains how this works and why data is more important than a football table.</v>
      </c>
      <c r="E678" s="9" t="str">
        <f>IFERROR(__xludf.DUMMYFUNCTION("""COMPUTED_VALUE"""),"Global Citizenship")</f>
        <v>Global Citizenship</v>
      </c>
      <c r="F678" s="10" t="str">
        <f>IFERROR(__xludf.DUMMYFUNCTION("""COMPUTED_VALUE"""),"Masterplan com GmbH - Simon Werther")</f>
        <v>Masterplan com GmbH - Simon Werther</v>
      </c>
      <c r="G678" s="11">
        <f>IFERROR(__xludf.DUMMYFUNCTION("""COMPUTED_VALUE"""),17.0)</f>
        <v>17</v>
      </c>
      <c r="H678" s="11">
        <f>IFERROR(__xludf.DUMMYFUNCTION("""COMPUTED_VALUE"""),10.0)</f>
        <v>10</v>
      </c>
      <c r="I678" s="12" t="str">
        <f>IFERROR(__xludf.DUMMYFUNCTION("""COMPUTED_VALUE"""),"English, German")</f>
        <v>English, German</v>
      </c>
      <c r="J678" s="12" t="str">
        <f>IFERROR(__xludf.DUMMYFUNCTION("""COMPUTED_VALUE"""),"German")</f>
        <v>German</v>
      </c>
      <c r="K678" s="13">
        <f>IFERROR(__xludf.DUMMYFUNCTION("""COMPUTED_VALUE"""),43734.0)</f>
        <v>43734</v>
      </c>
      <c r="L678" s="14" t="str">
        <f>IFERROR(__xludf.DUMMYFUNCTION("""COMPUTED_VALUE"""),"https://masterplan.com/courses/people-analytics")</f>
        <v>https://masterplan.com/courses/people-analytics</v>
      </c>
    </row>
    <row r="679">
      <c r="A679" s="15" t="str">
        <f>IFERROR(__xludf.DUMMYFUNCTION("""COMPUTED_VALUE"""),"Evolutionary Leadership: Vertrauenssache")</f>
        <v>Evolutionary Leadership: Vertrauenssache</v>
      </c>
      <c r="B679" s="16" t="str">
        <f>IFERROR(__xludf.DUMMYFUNCTION("""COMPUTED_VALUE"""),"Evolutionary Leadership: A Matter of Trust")</f>
        <v>Evolutionary Leadership: A Matter of Trust</v>
      </c>
      <c r="C679" s="17" t="str">
        <f>IFERROR(__xludf.DUMMYFUNCTION("""COMPUTED_VALUE"""),"Um den Veränderungen der digitalisiert-globalisierten Arbeitswelt gerecht zu werden, benötigen wir erfrischende, innovative Führungskonzepte. Wie können diese aussehen? Was heißt das für die Beziehung zwischen Führungskraft und Team und was hat das Ganze "&amp;"mit einem Ei zu tun?")</f>
        <v>Um den Veränderungen der digitalisiert-globalisierten Arbeitswelt gerecht zu werden, benötigen wir erfrischende, innovative Führungskonzepte. Wie können diese aussehen? Was heißt das für die Beziehung zwischen Führungskraft und Team und was hat das Ganze mit einem Ei zu tun?</v>
      </c>
      <c r="D679" s="17" t="str">
        <f>IFERROR(__xludf.DUMMYFUNCTION("""COMPUTED_VALUE"""),"In order to cope with the changes in the digitalized-globalized working world, we need refreshing, innovative management concepts. What do these look like? What does this mean for the relationship between manager and team, and what does it all have to do "&amp;"with an egg?")</f>
        <v>In order to cope with the changes in the digitalized-globalized working world, we need refreshing, innovative management concepts. What do these look like? What does this mean for the relationship between manager and team, and what does it all have to do with an egg?</v>
      </c>
      <c r="E679" s="26" t="str">
        <f>IFERROR(__xludf.DUMMYFUNCTION("""COMPUTED_VALUE"""),"Collaboration and Leadership")</f>
        <v>Collaboration and Leadership</v>
      </c>
      <c r="F679" s="19" t="str">
        <f>IFERROR(__xludf.DUMMYFUNCTION("""COMPUTED_VALUE"""),"Masterplan com GmbH - Eve Simon")</f>
        <v>Masterplan com GmbH - Eve Simon</v>
      </c>
      <c r="G679" s="20">
        <f>IFERROR(__xludf.DUMMYFUNCTION("""COMPUTED_VALUE"""),32.0)</f>
        <v>32</v>
      </c>
      <c r="H679" s="20">
        <f>IFERROR(__xludf.DUMMYFUNCTION("""COMPUTED_VALUE"""),21.0)</f>
        <v>21</v>
      </c>
      <c r="I679" s="21" t="str">
        <f>IFERROR(__xludf.DUMMYFUNCTION("""COMPUTED_VALUE"""),"English, German")</f>
        <v>English, German</v>
      </c>
      <c r="J679" s="21" t="str">
        <f>IFERROR(__xludf.DUMMYFUNCTION("""COMPUTED_VALUE"""),"German")</f>
        <v>German</v>
      </c>
      <c r="K679" s="22">
        <f>IFERROR(__xludf.DUMMYFUNCTION("""COMPUTED_VALUE"""),43728.0)</f>
        <v>43728</v>
      </c>
      <c r="L679" s="23" t="str">
        <f>IFERROR(__xludf.DUMMYFUNCTION("""COMPUTED_VALUE"""),"https://masterplan.com/courses/evolutionary-leadership")</f>
        <v>https://masterplan.com/courses/evolutionary-leadership</v>
      </c>
    </row>
    <row r="680">
      <c r="A680" s="6" t="str">
        <f>IFERROR(__xludf.DUMMYFUNCTION("""COMPUTED_VALUE"""),"Daten sind die beste Medizin: Gesundheitswesen im Wandel")</f>
        <v>Daten sind die beste Medizin: Gesundheitswesen im Wandel</v>
      </c>
      <c r="B680" s="7" t="str">
        <f>IFERROR(__xludf.DUMMYFUNCTION("""COMPUTED_VALUE"""),"Changing Health Care: People, Data, Drugs")</f>
        <v>Changing Health Care: People, Data, Drugs</v>
      </c>
      <c r="C680" s="8" t="str">
        <f>IFERROR(__xludf.DUMMYFUNCTION("""COMPUTED_VALUE"""),"Wie können Digitalisierung und Big Data bei der Lösung von Problemen im Gesundheitswesen helfen? Dr. Sophie Chung gibt dir einen Einblick in die aktuelle Lage des globalen Gesundheitswesens und zeigt dabei Chancen und Risiken des digitalen Wandels für die"&amp;" Branche auf.")</f>
        <v>Wie können Digitalisierung und Big Data bei der Lösung von Problemen im Gesundheitswesen helfen? Dr. Sophie Chung gibt dir einen Einblick in die aktuelle Lage des globalen Gesundheitswesens und zeigt dabei Chancen und Risiken des digitalen Wandels für die Branche auf.</v>
      </c>
      <c r="D680" s="8" t="str">
        <f>IFERROR(__xludf.DUMMYFUNCTION("""COMPUTED_VALUE"""),"How can digitalization help solve current healthcare problems? Dr. Sophie Chung gives you an insight into the current situation of the global healthcare system and shows the opportunities and risks of digital change for the industry.")</f>
        <v>How can digitalization help solve current healthcare problems? Dr. Sophie Chung gives you an insight into the current situation of the global healthcare system and shows the opportunities and risks of digital change for the industry.</v>
      </c>
      <c r="E680" s="25" t="str">
        <f>IFERROR(__xludf.DUMMYFUNCTION("""COMPUTED_VALUE"""),"Digital Literacy")</f>
        <v>Digital Literacy</v>
      </c>
      <c r="F680" s="10" t="str">
        <f>IFERROR(__xludf.DUMMYFUNCTION("""COMPUTED_VALUE"""),"Masterplan com GmbH - Sophie Chung")</f>
        <v>Masterplan com GmbH - Sophie Chung</v>
      </c>
      <c r="G680" s="11">
        <f>IFERROR(__xludf.DUMMYFUNCTION("""COMPUTED_VALUE"""),24.0)</f>
        <v>24</v>
      </c>
      <c r="H680" s="11">
        <f>IFERROR(__xludf.DUMMYFUNCTION("""COMPUTED_VALUE"""),12.0)</f>
        <v>12</v>
      </c>
      <c r="I680" s="12" t="str">
        <f>IFERROR(__xludf.DUMMYFUNCTION("""COMPUTED_VALUE"""),"English, German")</f>
        <v>English, German</v>
      </c>
      <c r="J680" s="12" t="str">
        <f>IFERROR(__xludf.DUMMYFUNCTION("""COMPUTED_VALUE"""),"German")</f>
        <v>German</v>
      </c>
      <c r="K680" s="13">
        <f>IFERROR(__xludf.DUMMYFUNCTION("""COMPUTED_VALUE"""),43728.0)</f>
        <v>43728</v>
      </c>
      <c r="L680" s="14" t="str">
        <f>IFERROR(__xludf.DUMMYFUNCTION("""COMPUTED_VALUE"""),"https://masterplan.com/courses/gesundheitswesen-im-wandel")</f>
        <v>https://masterplan.com/courses/gesundheitswesen-im-wandel</v>
      </c>
    </row>
    <row r="681">
      <c r="A681" s="15" t="str">
        <f>IFERROR(__xludf.DUMMYFUNCTION("""COMPUTED_VALUE"""),"DMEXCO '18")</f>
        <v>DMEXCO '18</v>
      </c>
      <c r="B681" s="16" t="str">
        <f>IFERROR(__xludf.DUMMYFUNCTION("""COMPUTED_VALUE"""),"DMEXCO '18")</f>
        <v>DMEXCO '18</v>
      </c>
      <c r="C681" s="17" t="str">
        <f>IFERROR(__xludf.DUMMYFUNCTION("""COMPUTED_VALUE"""),"DMEXCO is, as a unique combination of trade fair and conference, the meeting point for decision makers from the digital economy, marketing and innovation. In various formats, they provide an insight into current trends, growth strategies and product innov"&amp;"ations.")</f>
        <v>DMEXCO is, as a unique combination of trade fair and conference, the meeting point for decision makers from the digital economy, marketing and innovation. In various formats, they provide an insight into current trends, growth strategies and product innovations.</v>
      </c>
      <c r="D681" s="17" t="str">
        <f>IFERROR(__xludf.DUMMYFUNCTION("""COMPUTED_VALUE"""),"DMEXCO is, as a unique combination of trade fair and conference, the meeting point for decision makers from the digital economy, marketing and innovation. In various formats, they provide an insight into current trends, growth strategies and product innov"&amp;"ation.")</f>
        <v>DMEXCO is, as a unique combination of trade fair and conference, the meeting point for decision makers from the digital economy, marketing and innovation. In various formats, they provide an insight into current trends, growth strategies and product innovation.</v>
      </c>
      <c r="E681" s="9" t="str">
        <f>IFERROR(__xludf.DUMMYFUNCTION("""COMPUTED_VALUE"""),"Global Citizenship")</f>
        <v>Global Citizenship</v>
      </c>
      <c r="F681" s="19" t="str">
        <f>IFERROR(__xludf.DUMMYFUNCTION("""COMPUTED_VALUE"""),"DMEXCO")</f>
        <v>DMEXCO</v>
      </c>
      <c r="G681" s="20">
        <f>IFERROR(__xludf.DUMMYFUNCTION("""COMPUTED_VALUE"""),440.0)</f>
        <v>440</v>
      </c>
      <c r="H681" s="20">
        <f>IFERROR(__xludf.DUMMYFUNCTION("""COMPUTED_VALUE"""),15.0)</f>
        <v>15</v>
      </c>
      <c r="I681" s="21" t="str">
        <f>IFERROR(__xludf.DUMMYFUNCTION("""COMPUTED_VALUE"""),"English")</f>
        <v>English</v>
      </c>
      <c r="J681" s="21" t="str">
        <f>IFERROR(__xludf.DUMMYFUNCTION("""COMPUTED_VALUE"""),"English")</f>
        <v>English</v>
      </c>
      <c r="K681" s="22">
        <f>IFERROR(__xludf.DUMMYFUNCTION("""COMPUTED_VALUE"""),43720.0)</f>
        <v>43720</v>
      </c>
      <c r="L681" s="23" t="str">
        <f>IFERROR(__xludf.DUMMYFUNCTION("""COMPUTED_VALUE"""),"https://masterplan.com/courses/dmexco-18")</f>
        <v>https://masterplan.com/courses/dmexco-18</v>
      </c>
    </row>
    <row r="682">
      <c r="A682" s="6" t="str">
        <f>IFERROR(__xludf.DUMMYFUNCTION("""COMPUTED_VALUE"""),"Bits &amp; Pretzels '18")</f>
        <v>Bits &amp; Pretzels '18</v>
      </c>
      <c r="B682" s="7" t="str">
        <f>IFERROR(__xludf.DUMMYFUNCTION("""COMPUTED_VALUE"""),"Bits &amp; Pretzels '18")</f>
        <v>Bits &amp; Pretzels '18</v>
      </c>
      <c r="C682" s="8" t="str">
        <f>IFERROR(__xludf.DUMMYFUNCTION("""COMPUTED_VALUE"""),"Bits &amp; Pretzels is a 3 day conference for founders, investors and startup enthusiasts. Remarkable entrepreneurs from all over the world as well as young aspiring entrepreneurs offer inspirations and insights into their work in exciting lectures and discus"&amp;"sions.")</f>
        <v>Bits &amp; Pretzels is a 3 day conference for founders, investors and startup enthusiasts. Remarkable entrepreneurs from all over the world as well as young aspiring entrepreneurs offer inspirations and insights into their work in exciting lectures and discussions.</v>
      </c>
      <c r="D682" s="8" t="str">
        <f>IFERROR(__xludf.DUMMYFUNCTION("""COMPUTED_VALUE"""),"Bits &amp; Pretzels is a 3-day conference for founders, investors and startup enthusiasts. Remarkable entrepreneurs from all over the world, as well as young aspiring entrepreneurs, offer inspiration and insights into their work with exciting lectures and dis"&amp;"cussions.")</f>
        <v>Bits &amp; Pretzels is a 3-day conference for founders, investors and startup enthusiasts. Remarkable entrepreneurs from all over the world, as well as young aspiring entrepreneurs, offer inspiration and insights into their work with exciting lectures and discussions.</v>
      </c>
      <c r="E682" s="9" t="str">
        <f>IFERROR(__xludf.DUMMYFUNCTION("""COMPUTED_VALUE"""),"Global Citizenship")</f>
        <v>Global Citizenship</v>
      </c>
      <c r="F682" s="10" t="str">
        <f>IFERROR(__xludf.DUMMYFUNCTION("""COMPUTED_VALUE"""),"Bits &amp; Pretzels")</f>
        <v>Bits &amp; Pretzels</v>
      </c>
      <c r="G682" s="11">
        <f>IFERROR(__xludf.DUMMYFUNCTION("""COMPUTED_VALUE"""),318.0)</f>
        <v>318</v>
      </c>
      <c r="H682" s="11">
        <f>IFERROR(__xludf.DUMMYFUNCTION("""COMPUTED_VALUE"""),11.0)</f>
        <v>11</v>
      </c>
      <c r="I682" s="12" t="str">
        <f>IFERROR(__xludf.DUMMYFUNCTION("""COMPUTED_VALUE"""),"English")</f>
        <v>English</v>
      </c>
      <c r="J682" s="12" t="str">
        <f>IFERROR(__xludf.DUMMYFUNCTION("""COMPUTED_VALUE"""),"English")</f>
        <v>English</v>
      </c>
      <c r="K682" s="13">
        <f>IFERROR(__xludf.DUMMYFUNCTION("""COMPUTED_VALUE"""),43711.0)</f>
        <v>43711</v>
      </c>
      <c r="L682" s="14" t="str">
        <f>IFERROR(__xludf.DUMMYFUNCTION("""COMPUTED_VALUE"""),"https://masterplan.com/courses/bits-and-pretzels-18")</f>
        <v>https://masterplan.com/courses/bits-and-pretzels-18</v>
      </c>
    </row>
    <row r="683">
      <c r="A683" s="15" t="str">
        <f>IFERROR(__xludf.DUMMYFUNCTION("""COMPUTED_VALUE"""),"Mit Big Data zum Unternehmenserfolg")</f>
        <v>Mit Big Data zum Unternehmenserfolg</v>
      </c>
      <c r="B683" s="16" t="str">
        <f>IFERROR(__xludf.DUMMYFUNCTION("""COMPUTED_VALUE"""),"Big Data for Company Success")</f>
        <v>Big Data for Company Success</v>
      </c>
      <c r="C683" s="17" t="str">
        <f>IFERROR(__xludf.DUMMYFUNCTION("""COMPUTED_VALUE"""),"Big Data – Jeder hat schon davon gehört. Aber was verbirgt sich dahinter? In diesem Kurs lernst du, wie du Entscheidungen auf Basis empirischer Daten triffst. Bauchgefühl war gestern. Am Ende dieses Kurses verfügst du über fundiertes Wissen rund um das Th"&amp;"ema Daten.")</f>
        <v>Big Data – Jeder hat schon davon gehört. Aber was verbirgt sich dahinter? In diesem Kurs lernst du, wie du Entscheidungen auf Basis empirischer Daten triffst. Bauchgefühl war gestern. Am Ende dieses Kurses verfügst du über fundiertes Wissen rund um das Thema Daten.</v>
      </c>
      <c r="D683" s="17" t="str">
        <f>IFERROR(__xludf.DUMMYFUNCTION("""COMPUTED_VALUE"""),"Big Data: everybody has heard of it. But what’s behind it? In this course, you will learn how to make decisions based on empirical data. No more gut feeling decisions! At the end of this course you will have expanded your knowledge about data.")</f>
        <v>Big Data: everybody has heard of it. But what’s behind it? In this course, you will learn how to make decisions based on empirical data. No more gut feeling decisions! At the end of this course you will have expanded your knowledge about data.</v>
      </c>
      <c r="E683" s="25" t="str">
        <f>IFERROR(__xludf.DUMMYFUNCTION("""COMPUTED_VALUE"""),"Digital Literacy")</f>
        <v>Digital Literacy</v>
      </c>
      <c r="F683" s="19" t="str">
        <f>IFERROR(__xludf.DUMMYFUNCTION("""COMPUTED_VALUE"""),"Masterplan com GmbH - Martin Bierey")</f>
        <v>Masterplan com GmbH - Martin Bierey</v>
      </c>
      <c r="G683" s="20">
        <f>IFERROR(__xludf.DUMMYFUNCTION("""COMPUTED_VALUE"""),29.0)</f>
        <v>29</v>
      </c>
      <c r="H683" s="20">
        <f>IFERROR(__xludf.DUMMYFUNCTION("""COMPUTED_VALUE"""),17.0)</f>
        <v>17</v>
      </c>
      <c r="I683" s="21" t="str">
        <f>IFERROR(__xludf.DUMMYFUNCTION("""COMPUTED_VALUE"""),"English, German")</f>
        <v>English, German</v>
      </c>
      <c r="J683" s="21" t="str">
        <f>IFERROR(__xludf.DUMMYFUNCTION("""COMPUTED_VALUE"""),"English, German")</f>
        <v>English, German</v>
      </c>
      <c r="K683" s="22">
        <f>IFERROR(__xludf.DUMMYFUNCTION("""COMPUTED_VALUE"""),43708.0)</f>
        <v>43708</v>
      </c>
      <c r="L683" s="23" t="str">
        <f>IFERROR(__xludf.DUMMYFUNCTION("""COMPUTED_VALUE"""),"https://masterplan.com/courses/big-data")</f>
        <v>https://masterplan.com/courses/big-data</v>
      </c>
    </row>
    <row r="684">
      <c r="A684" s="6" t="str">
        <f>IFERROR(__xludf.DUMMYFUNCTION("""COMPUTED_VALUE"""),"Neue Wirklichkeiten: Eine Einführung in VR und AR")</f>
        <v>Neue Wirklichkeiten: Eine Einführung in VR und AR</v>
      </c>
      <c r="B684" s="7" t="str">
        <f>IFERROR(__xludf.DUMMYFUNCTION("""COMPUTED_VALUE"""),"New Realities: An Introduction into VR and AR")</f>
        <v>New Realities: An Introduction into VR and AR</v>
      </c>
      <c r="C684" s="8" t="str">
        <f>IFERROR(__xludf.DUMMYFUNCTION("""COMPUTED_VALUE"""),"Dass Virtual Reality und Augmented Reality schon längst nicht mehr nur in Science Fiction-Filmen vorkommen, weiß inzwischen jeder. Aber was unterscheidet die beiden Formen der digitalen Realitätswahrnehmung? Und wie lassen sie sich schon heute im Unterneh"&amp;"men einsetzen?")</f>
        <v>Dass Virtual Reality und Augmented Reality schon längst nicht mehr nur in Science Fiction-Filmen vorkommen, weiß inzwischen jeder. Aber was unterscheidet die beiden Formen der digitalen Realitätswahrnehmung? Und wie lassen sie sich schon heute im Unternehmen einsetzen?</v>
      </c>
      <c r="D684" s="8" t="str">
        <f>IFERROR(__xludf.DUMMYFUNCTION("""COMPUTED_VALUE"""),"Everyone knows by now that virtual reality and augmented reality no longer appear in science fiction films only. But what distinguishes the two forms of digital perception of reality? And how can they already be used in your company today?")</f>
        <v>Everyone knows by now that virtual reality and augmented reality no longer appear in science fiction films only. But what distinguishes the two forms of digital perception of reality? And how can they already be used in your company today?</v>
      </c>
      <c r="E684" s="25" t="str">
        <f>IFERROR(__xludf.DUMMYFUNCTION("""COMPUTED_VALUE"""),"Digital Literacy")</f>
        <v>Digital Literacy</v>
      </c>
      <c r="F684" s="10" t="str">
        <f>IFERROR(__xludf.DUMMYFUNCTION("""COMPUTED_VALUE"""),"Masterplan com GmbH - Christian Arentz")</f>
        <v>Masterplan com GmbH - Christian Arentz</v>
      </c>
      <c r="G684" s="11">
        <f>IFERROR(__xludf.DUMMYFUNCTION("""COMPUTED_VALUE"""),23.0)</f>
        <v>23</v>
      </c>
      <c r="H684" s="11">
        <f>IFERROR(__xludf.DUMMYFUNCTION("""COMPUTED_VALUE"""),18.0)</f>
        <v>18</v>
      </c>
      <c r="I684" s="12" t="str">
        <f>IFERROR(__xludf.DUMMYFUNCTION("""COMPUTED_VALUE"""),"English, German")</f>
        <v>English, German</v>
      </c>
      <c r="J684" s="12" t="str">
        <f>IFERROR(__xludf.DUMMYFUNCTION("""COMPUTED_VALUE"""),"German")</f>
        <v>German</v>
      </c>
      <c r="K684" s="13">
        <f>IFERROR(__xludf.DUMMYFUNCTION("""COMPUTED_VALUE"""),43704.0)</f>
        <v>43704</v>
      </c>
      <c r="L684" s="14" t="str">
        <f>IFERROR(__xludf.DUMMYFUNCTION("""COMPUTED_VALUE"""),"https://masterplan.com/courses/vr-und-ar")</f>
        <v>https://masterplan.com/courses/vr-und-ar</v>
      </c>
    </row>
    <row r="685">
      <c r="A685" s="15" t="str">
        <f>IFERROR(__xludf.DUMMYFUNCTION("""COMPUTED_VALUE"""),"Eignungsdiagnostik für erfolgreiche Personalauswahl")</f>
        <v>Eignungsdiagnostik für erfolgreiche Personalauswahl</v>
      </c>
      <c r="B685" s="16" t="str">
        <f>IFERROR(__xludf.DUMMYFUNCTION("""COMPUTED_VALUE"""),"The Right Fit: Matching People and Employers")</f>
        <v>The Right Fit: Matching People and Employers</v>
      </c>
      <c r="C685" s="17" t="str">
        <f>IFERROR(__xludf.DUMMYFUNCTION("""COMPUTED_VALUE"""),"Warum liegt die Abbruchquote der Auszubildenden bei 50%? Warum verlassen 20% der Arbeitnehmer das Unternehmen bereits nach 18 Monaten wieder? Wie können diese Zahlen minimiert werden? Und warum ist es hilfreich, wenn Schmidt nicht nur Schmidtchen einstell"&amp;"t?")</f>
        <v>Warum liegt die Abbruchquote der Auszubildenden bei 50%? Warum verlassen 20% der Arbeitnehmer das Unternehmen bereits nach 18 Monaten wieder? Wie können diese Zahlen minimiert werden? Und warum ist es hilfreich, wenn Schmidt nicht nur Schmidtchen einstellt?</v>
      </c>
      <c r="D685" s="17" t="str">
        <f>IFERROR(__xludf.DUMMYFUNCTION("""COMPUTED_VALUE"""),"Why is the trainee drop-out rate at 50%? Why do 20% of employees leave the company after only 18 months? How can these figures be minimized? And why is it helpful to hire diverse people?")</f>
        <v>Why is the trainee drop-out rate at 50%? Why do 20% of employees leave the company after only 18 months? How can these figures be minimized? And why is it helpful to hire diverse people?</v>
      </c>
      <c r="E685" s="9" t="str">
        <f>IFERROR(__xludf.DUMMYFUNCTION("""COMPUTED_VALUE"""),"Global Citizenship")</f>
        <v>Global Citizenship</v>
      </c>
      <c r="F685" s="19" t="str">
        <f>IFERROR(__xludf.DUMMYFUNCTION("""COMPUTED_VALUE"""),"Masterplan com GmbH - Joachim Diercks")</f>
        <v>Masterplan com GmbH - Joachim Diercks</v>
      </c>
      <c r="G685" s="20">
        <f>IFERROR(__xludf.DUMMYFUNCTION("""COMPUTED_VALUE"""),27.0)</f>
        <v>27</v>
      </c>
      <c r="H685" s="20">
        <f>IFERROR(__xludf.DUMMYFUNCTION("""COMPUTED_VALUE"""),13.0)</f>
        <v>13</v>
      </c>
      <c r="I685" s="21" t="str">
        <f>IFERROR(__xludf.DUMMYFUNCTION("""COMPUTED_VALUE"""),"English, German")</f>
        <v>English, German</v>
      </c>
      <c r="J685" s="21" t="str">
        <f>IFERROR(__xludf.DUMMYFUNCTION("""COMPUTED_VALUE"""),"German")</f>
        <v>German</v>
      </c>
      <c r="K685" s="22">
        <f>IFERROR(__xludf.DUMMYFUNCTION("""COMPUTED_VALUE"""),43699.0)</f>
        <v>43699</v>
      </c>
      <c r="L685" s="23" t="str">
        <f>IFERROR(__xludf.DUMMYFUNCTION("""COMPUTED_VALUE"""),"https://masterplan.com/courses/self-und-online-assessment")</f>
        <v>https://masterplan.com/courses/self-und-online-assessment</v>
      </c>
    </row>
    <row r="686">
      <c r="A686" s="6" t="str">
        <f>IFERROR(__xludf.DUMMYFUNCTION("""COMPUTED_VALUE"""),"Pirate Summit")</f>
        <v>Pirate Summit</v>
      </c>
      <c r="B686" s="7" t="str">
        <f>IFERROR(__xludf.DUMMYFUNCTION("""COMPUTED_VALUE"""),"Pirate Summit")</f>
        <v>Pirate Summit</v>
      </c>
      <c r="C686" s="8" t="str">
        <f>IFERROR(__xludf.DUMMYFUNCTION("""COMPUTED_VALUE"""),"1000 Teilnehmer und 250 Investoren nahmen an Europas größter invitation-only Konferenz für Startups teil, auf der Gründer und Investoren aus über 70 Nationen ihre Unternehmensideen vorstellten.")</f>
        <v>1000 Teilnehmer und 250 Investoren nahmen an Europas größter invitation-only Konferenz für Startups teil, auf der Gründer und Investoren aus über 70 Nationen ihre Unternehmensideen vorstellten.</v>
      </c>
      <c r="D686" s="8" t="str">
        <f>IFERROR(__xludf.DUMMYFUNCTION("""COMPUTED_VALUE"""),"1000 participants and 250 investors took part in Europe's largest invitation-only conference for startups, where founders and investors from over 70 nations pitched their business ideas.")</f>
        <v>1000 participants and 250 investors took part in Europe's largest invitation-only conference for startups, where founders and investors from over 70 nations pitched their business ideas.</v>
      </c>
      <c r="E686" s="9" t="str">
        <f>IFERROR(__xludf.DUMMYFUNCTION("""COMPUTED_VALUE"""),"Global Citizenship")</f>
        <v>Global Citizenship</v>
      </c>
      <c r="F686" s="10" t="str">
        <f>IFERROR(__xludf.DUMMYFUNCTION("""COMPUTED_VALUE"""),"Pirate Summit")</f>
        <v>Pirate Summit</v>
      </c>
      <c r="G686" s="11">
        <f>IFERROR(__xludf.DUMMYFUNCTION("""COMPUTED_VALUE"""),394.0)</f>
        <v>394</v>
      </c>
      <c r="H686" s="11">
        <f>IFERROR(__xludf.DUMMYFUNCTION("""COMPUTED_VALUE"""),12.0)</f>
        <v>12</v>
      </c>
      <c r="I686" s="12" t="str">
        <f>IFERROR(__xludf.DUMMYFUNCTION("""COMPUTED_VALUE"""),"English, German")</f>
        <v>English, German</v>
      </c>
      <c r="J686" s="12" t="str">
        <f>IFERROR(__xludf.DUMMYFUNCTION("""COMPUTED_VALUE"""),"English")</f>
        <v>English</v>
      </c>
      <c r="K686" s="13">
        <f>IFERROR(__xludf.DUMMYFUNCTION("""COMPUTED_VALUE"""),43696.0)</f>
        <v>43696</v>
      </c>
      <c r="L686" s="14" t="str">
        <f>IFERROR(__xludf.DUMMYFUNCTION("""COMPUTED_VALUE"""),"https://masterplan.com/courses/pirate-summit-19")</f>
        <v>https://masterplan.com/courses/pirate-summit-19</v>
      </c>
    </row>
    <row r="687">
      <c r="A687" s="15" t="str">
        <f>IFERROR(__xludf.DUMMYFUNCTION("""COMPUTED_VALUE"""),"Facebook Advertising")</f>
        <v>Facebook Advertising</v>
      </c>
      <c r="B687" s="16" t="str">
        <f>IFERROR(__xludf.DUMMYFUNCTION("""COMPUTED_VALUE"""),"Facebook Advertising")</f>
        <v>Facebook Advertising</v>
      </c>
      <c r="C687" s="17" t="str">
        <f>IFERROR(__xludf.DUMMYFUNCTION("""COMPUTED_VALUE"""),"Es ist ausreichend, Werbung auf Google zu schalten. Facebook ist nur etwas für die junge Generation. Wenn diese Aussagen auch von dir stammen könnten, dann solltest du dir unbedingt diesen Kurs ansehen und du wirst staunen, welches Marketing-Potenzial du "&amp;"bisher verpasst hast.")</f>
        <v>Es ist ausreichend, Werbung auf Google zu schalten. Facebook ist nur etwas für die junge Generation. Wenn diese Aussagen auch von dir stammen könnten, dann solltest du dir unbedingt diesen Kurs ansehen und du wirst staunen, welches Marketing-Potenzial du bisher verpasst hast.</v>
      </c>
      <c r="D687" s="17" t="str">
        <f>IFERROR(__xludf.DUMMYFUNCTION("""COMPUTED_VALUE"""),"""It is sufficient to place advertising on Google. Facebook is only something for the young generation"". If these statements could also be yours, then you should definitely take a look at this course and you will be amazed at the potential you have misse"&amp;"d so far.")</f>
        <v>"It is sufficient to place advertising on Google. Facebook is only something for the young generation". If these statements could also be yours, then you should definitely take a look at this course and you will be amazed at the potential you have missed so far.</v>
      </c>
      <c r="E687" s="9" t="str">
        <f>IFERROR(__xludf.DUMMYFUNCTION("""COMPUTED_VALUE"""),"Global Citizenship")</f>
        <v>Global Citizenship</v>
      </c>
      <c r="F687" s="19" t="str">
        <f>IFERROR(__xludf.DUMMYFUNCTION("""COMPUTED_VALUE"""),"Masterplan com GmbH - Daniel Verst")</f>
        <v>Masterplan com GmbH - Daniel Verst</v>
      </c>
      <c r="G687" s="20">
        <f>IFERROR(__xludf.DUMMYFUNCTION("""COMPUTED_VALUE"""),17.0)</f>
        <v>17</v>
      </c>
      <c r="H687" s="20">
        <f>IFERROR(__xludf.DUMMYFUNCTION("""COMPUTED_VALUE"""),17.0)</f>
        <v>17</v>
      </c>
      <c r="I687" s="21" t="str">
        <f>IFERROR(__xludf.DUMMYFUNCTION("""COMPUTED_VALUE"""),"English, German")</f>
        <v>English, German</v>
      </c>
      <c r="J687" s="21" t="str">
        <f>IFERROR(__xludf.DUMMYFUNCTION("""COMPUTED_VALUE"""),"German")</f>
        <v>German</v>
      </c>
      <c r="K687" s="22">
        <f>IFERROR(__xludf.DUMMYFUNCTION("""COMPUTED_VALUE"""),43676.0)</f>
        <v>43676</v>
      </c>
      <c r="L687" s="23" t="str">
        <f>IFERROR(__xludf.DUMMYFUNCTION("""COMPUTED_VALUE"""),"https://masterplan.com/courses/facebook-advertising")</f>
        <v>https://masterplan.com/courses/facebook-advertising</v>
      </c>
    </row>
    <row r="688">
      <c r="A688" s="6" t="str">
        <f>IFERROR(__xludf.DUMMYFUNCTION("""COMPUTED_VALUE"""),"Elektrisch, autonom, geteilt: Die Zukunft der Mobilität")</f>
        <v>Elektrisch, autonom, geteilt: Die Zukunft der Mobilität</v>
      </c>
      <c r="B688" s="7" t="str">
        <f>IFERROR(__xludf.DUMMYFUNCTION("""COMPUTED_VALUE"""),"Electric, Autonomous, Shared: The Future of Mobility")</f>
        <v>Electric, Autonomous, Shared: The Future of Mobility</v>
      </c>
      <c r="C688" s="8" t="str">
        <f>IFERROR(__xludf.DUMMYFUNCTION("""COMPUTED_VALUE"""),"Wer sitzt in Zukunft am Steuer? Wie ist die CO₂-Problematik des Verkehrs zu lösen? Wie sehen innovative Ansätze für die vollen Straßen in den Städten aus? Hier erhältst du Antworten auf diese Fragen und erfährst, warum du schon bald deinen Führerschein ab"&amp;"geben kannst.")</f>
        <v>Wer sitzt in Zukunft am Steuer? Wie ist die CO₂-Problematik des Verkehrs zu lösen? Wie sehen innovative Ansätze für die vollen Straßen in den Städten aus? Hier erhältst du Antworten auf diese Fragen und erfährst, warum du schon bald deinen Führerschein abgeben kannst.</v>
      </c>
      <c r="D688" s="8" t="str">
        <f>IFERROR(__xludf.DUMMYFUNCTION("""COMPUTED_VALUE"""),"Who will be behind the wheel in the future? How can the CO² problem of traffic be solved? What do innovative approaches look like for the full streets in cities? Here you will find answers to these questions and find out why you can hand in your driving l"&amp;"icense soon.")</f>
        <v>Who will be behind the wheel in the future? How can the CO² problem of traffic be solved? What do innovative approaches look like for the full streets in cities? Here you will find answers to these questions and find out why you can hand in your driving license soon.</v>
      </c>
      <c r="E688" s="25" t="str">
        <f>IFERROR(__xludf.DUMMYFUNCTION("""COMPUTED_VALUE"""),"Digital Literacy")</f>
        <v>Digital Literacy</v>
      </c>
      <c r="F688" s="10" t="str">
        <f>IFERROR(__xludf.DUMMYFUNCTION("""COMPUTED_VALUE"""),"Masterplan com GmbH - Kersten Heineke")</f>
        <v>Masterplan com GmbH - Kersten Heineke</v>
      </c>
      <c r="G688" s="11">
        <f>IFERROR(__xludf.DUMMYFUNCTION("""COMPUTED_VALUE"""),52.0)</f>
        <v>52</v>
      </c>
      <c r="H688" s="11">
        <f>IFERROR(__xludf.DUMMYFUNCTION("""COMPUTED_VALUE"""),5.0)</f>
        <v>5</v>
      </c>
      <c r="I688" s="12" t="str">
        <f>IFERROR(__xludf.DUMMYFUNCTION("""COMPUTED_VALUE"""),"English, German")</f>
        <v>English, German</v>
      </c>
      <c r="J688" s="12" t="str">
        <f>IFERROR(__xludf.DUMMYFUNCTION("""COMPUTED_VALUE"""),"German")</f>
        <v>German</v>
      </c>
      <c r="K688" s="13">
        <f>IFERROR(__xludf.DUMMYFUNCTION("""COMPUTED_VALUE"""),43669.0)</f>
        <v>43669</v>
      </c>
      <c r="L688" s="14" t="str">
        <f>IFERROR(__xludf.DUMMYFUNCTION("""COMPUTED_VALUE"""),"https://masterplan.com/courses/zukunft-der-mobilitaet")</f>
        <v>https://masterplan.com/courses/zukunft-der-mobilitaet</v>
      </c>
    </row>
    <row r="689">
      <c r="A689" s="15" t="str">
        <f>IFERROR(__xludf.DUMMYFUNCTION("""COMPUTED_VALUE"""),"Der erste Eindruck zählt: Die perfekte Bewerbererfahrung")</f>
        <v>Der erste Eindruck zählt: Die perfekte Bewerbererfahrung</v>
      </c>
      <c r="B689" s="16" t="str">
        <f>IFERROR(__xludf.DUMMYFUNCTION("""COMPUTED_VALUE"""),"First Impressions Count: Perfect the Candidate Experience")</f>
        <v>First Impressions Count: Perfect the Candidate Experience</v>
      </c>
      <c r="C689" s="17" t="str">
        <f>IFERROR(__xludf.DUMMYFUNCTION("""COMPUTED_VALUE"""),"Die Einstellung zu einem Unternehmen und das nötige Vertrauen wird schon entscheidend geprägt, bevor ein Mitarbeiter überhaupt eine Stelle antritt - und zwar ab dem Bewerbungsprozess. Dieser sollte daher optimal gestaltet sein. Wie funktioniert das? Welch"&amp;"e Aspekte müssen beachtet werden? Und was ist eigentlich die Arbeitsillusion?")</f>
        <v>Die Einstellung zu einem Unternehmen und das nötige Vertrauen wird schon entscheidend geprägt, bevor ein Mitarbeiter überhaupt eine Stelle antritt - und zwar ab dem Bewerbungsprozess. Dieser sollte daher optimal gestaltet sein. Wie funktioniert das? Welche Aspekte müssen beachtet werden? Und was ist eigentlich die Arbeitsillusion?</v>
      </c>
      <c r="D689" s="17" t="str">
        <f>IFERROR(__xludf.DUMMYFUNCTION("""COMPUTED_VALUE"""),"The attitude towards a company and the necessary trust is shaped before an employee is even hired - it starts with the application process. It should, therefore, be optimally designed. But how? Which aspects have to be observed? And what exactly is the wo"&amp;"rk illusion?")</f>
        <v>The attitude towards a company and the necessary trust is shaped before an employee is even hired - it starts with the application process. It should, therefore, be optimally designed. But how? Which aspects have to be observed? And what exactly is the work illusion?</v>
      </c>
      <c r="E689" s="9" t="str">
        <f>IFERROR(__xludf.DUMMYFUNCTION("""COMPUTED_VALUE"""),"Global Citizenship")</f>
        <v>Global Citizenship</v>
      </c>
      <c r="F689" s="19" t="str">
        <f>IFERROR(__xludf.DUMMYFUNCTION("""COMPUTED_VALUE"""),"Masterplan com GmbH - Christoph Athanas")</f>
        <v>Masterplan com GmbH - Christoph Athanas</v>
      </c>
      <c r="G689" s="20">
        <f>IFERROR(__xludf.DUMMYFUNCTION("""COMPUTED_VALUE"""),22.0)</f>
        <v>22</v>
      </c>
      <c r="H689" s="20">
        <f>IFERROR(__xludf.DUMMYFUNCTION("""COMPUTED_VALUE"""),18.0)</f>
        <v>18</v>
      </c>
      <c r="I689" s="21" t="str">
        <f>IFERROR(__xludf.DUMMYFUNCTION("""COMPUTED_VALUE"""),"English, German")</f>
        <v>English, German</v>
      </c>
      <c r="J689" s="21" t="str">
        <f>IFERROR(__xludf.DUMMYFUNCTION("""COMPUTED_VALUE"""),"German")</f>
        <v>German</v>
      </c>
      <c r="K689" s="22">
        <f>IFERROR(__xludf.DUMMYFUNCTION("""COMPUTED_VALUE"""),43651.0)</f>
        <v>43651</v>
      </c>
      <c r="L689" s="23" t="str">
        <f>IFERROR(__xludf.DUMMYFUNCTION("""COMPUTED_VALUE"""),"https://masterplan.com/courses/candidate-experience")</f>
        <v>https://masterplan.com/courses/candidate-experience</v>
      </c>
    </row>
    <row r="690">
      <c r="A690" s="6" t="str">
        <f>IFERROR(__xludf.DUMMYFUNCTION("""COMPUTED_VALUE"""),"Personal, Netzwerk, Vertrieb: XING für Unternehmen")</f>
        <v>Personal, Netzwerk, Vertrieb: XING für Unternehmen</v>
      </c>
      <c r="B690" s="7" t="str">
        <f>IFERROR(__xludf.DUMMYFUNCTION("""COMPUTED_VALUE"""),"Staffing, Networking, Selling: Xing for Yourself and Your Company")</f>
        <v>Staffing, Networking, Selling: Xing for Yourself and Your Company</v>
      </c>
      <c r="C690" s="8" t="str">
        <f>IFERROR(__xludf.DUMMYFUNCTION("""COMPUTED_VALUE"""),"Du hast möglicherweise schon einen Xing-Account, aber weißt nicht, wie du die Plattform am effektivsten für dich nutzen kannst? Bekomme jetzt direkte Tipps, um alle Vorteile der Plattform zu nutzen. Ob fürs Netzwerken, die Arbeitgebermarke oder fürs Marke"&amp;"ting.")</f>
        <v>Du hast möglicherweise schon einen Xing-Account, aber weißt nicht, wie du die Plattform am effektivsten für dich nutzen kannst? Bekomme jetzt direkte Tipps, um alle Vorteile der Plattform zu nutzen. Ob fürs Netzwerken, die Arbeitgebermarke oder fürs Marketing.</v>
      </c>
      <c r="D690" s="8" t="str">
        <f>IFERROR(__xludf.DUMMYFUNCTION("""COMPUTED_VALUE"""),"Do you already have a Xing account, but don't know how to use the platform effectively? Get direct tips now to take advantage of all the benefits of the platform.")</f>
        <v>Do you already have a Xing account, but don't know how to use the platform effectively? Get direct tips now to take advantage of all the benefits of the platform.</v>
      </c>
      <c r="E690" s="9" t="str">
        <f>IFERROR(__xludf.DUMMYFUNCTION("""COMPUTED_VALUE"""),"Global Citizenship")</f>
        <v>Global Citizenship</v>
      </c>
      <c r="F690" s="10" t="str">
        <f>IFERROR(__xludf.DUMMYFUNCTION("""COMPUTED_VALUE"""),"Masterplan com GmbH - Joachim Rumohr")</f>
        <v>Masterplan com GmbH - Joachim Rumohr</v>
      </c>
      <c r="G690" s="11">
        <f>IFERROR(__xludf.DUMMYFUNCTION("""COMPUTED_VALUE"""),38.0)</f>
        <v>38</v>
      </c>
      <c r="H690" s="11">
        <f>IFERROR(__xludf.DUMMYFUNCTION("""COMPUTED_VALUE"""),25.0)</f>
        <v>25</v>
      </c>
      <c r="I690" s="12" t="str">
        <f>IFERROR(__xludf.DUMMYFUNCTION("""COMPUTED_VALUE"""),"English, German")</f>
        <v>English, German</v>
      </c>
      <c r="J690" s="12" t="str">
        <f>IFERROR(__xludf.DUMMYFUNCTION("""COMPUTED_VALUE"""),"German")</f>
        <v>German</v>
      </c>
      <c r="K690" s="13">
        <f>IFERROR(__xludf.DUMMYFUNCTION("""COMPUTED_VALUE"""),43642.0)</f>
        <v>43642</v>
      </c>
      <c r="L690" s="14" t="str">
        <f>IFERROR(__xludf.DUMMYFUNCTION("""COMPUTED_VALUE"""),"https://masterplan.com/courses/xing")</f>
        <v>https://masterplan.com/courses/xing</v>
      </c>
    </row>
    <row r="691">
      <c r="A691" s="15" t="str">
        <f>IFERROR(__xludf.DUMMYFUNCTION("""COMPUTED_VALUE"""),"Onlinehandel")</f>
        <v>Onlinehandel</v>
      </c>
      <c r="B691" s="16" t="str">
        <f>IFERROR(__xludf.DUMMYFUNCTION("""COMPUTED_VALUE"""),"E-commerce")</f>
        <v>E-commerce</v>
      </c>
      <c r="C691" s="17" t="str">
        <f>IFERROR(__xludf.DUMMYFUNCTION("""COMPUTED_VALUE"""),"Besonders im E-Commerce entwickeln sich die Anforderungen und das Verhalten der Kunden rasant. Worauf müssen wir achten, wenn wir trotzdem relevant bleiben wollen? Wie können wir online und offline verknüpfen? Und was hat ein Cappuccino mit Kundenzufriede"&amp;"nheit zu tun?")</f>
        <v>Besonders im E-Commerce entwickeln sich die Anforderungen und das Verhalten der Kunden rasant. Worauf müssen wir achten, wenn wir trotzdem relevant bleiben wollen? Wie können wir online und offline verknüpfen? Und was hat ein Cappuccino mit Kundenzufriedenheit zu tun?</v>
      </c>
      <c r="D691" s="17" t="str">
        <f>IFERROR(__xludf.DUMMYFUNCTION("""COMPUTED_VALUE"""),"In e-commerce in particular, the requirements and behavior of customers are developing rapidly. What do we have to pay attention to if we still want to remain relevant? How can we link online and offline? And what does a cappuccino have to do with custome"&amp;"r satisfaction?")</f>
        <v>In e-commerce in particular, the requirements and behavior of customers are developing rapidly. What do we have to pay attention to if we still want to remain relevant? How can we link online and offline? And what does a cappuccino have to do with customer satisfaction?</v>
      </c>
      <c r="E691" s="9" t="str">
        <f>IFERROR(__xludf.DUMMYFUNCTION("""COMPUTED_VALUE"""),"Global Citizenship")</f>
        <v>Global Citizenship</v>
      </c>
      <c r="F691" s="19" t="str">
        <f>IFERROR(__xludf.DUMMYFUNCTION("""COMPUTED_VALUE"""),"Masterplan com GmbH - Kai Hudetz")</f>
        <v>Masterplan com GmbH - Kai Hudetz</v>
      </c>
      <c r="G691" s="20">
        <f>IFERROR(__xludf.DUMMYFUNCTION("""COMPUTED_VALUE"""),43.0)</f>
        <v>43</v>
      </c>
      <c r="H691" s="20">
        <f>IFERROR(__xludf.DUMMYFUNCTION("""COMPUTED_VALUE"""),19.0)</f>
        <v>19</v>
      </c>
      <c r="I691" s="21" t="str">
        <f>IFERROR(__xludf.DUMMYFUNCTION("""COMPUTED_VALUE"""),"English, German")</f>
        <v>English, German</v>
      </c>
      <c r="J691" s="21" t="str">
        <f>IFERROR(__xludf.DUMMYFUNCTION("""COMPUTED_VALUE"""),"German")</f>
        <v>German</v>
      </c>
      <c r="K691" s="22">
        <f>IFERROR(__xludf.DUMMYFUNCTION("""COMPUTED_VALUE"""),43630.0)</f>
        <v>43630</v>
      </c>
      <c r="L691" s="23" t="str">
        <f>IFERROR(__xludf.DUMMYFUNCTION("""COMPUTED_VALUE"""),"https://masterplan.com/courses/onlinehandel")</f>
        <v>https://masterplan.com/courses/onlinehandel</v>
      </c>
    </row>
    <row r="692">
      <c r="A692" s="6" t="str">
        <f>IFERROR(__xludf.DUMMYFUNCTION("""COMPUTED_VALUE"""),"Cyber Security im Alltag")</f>
        <v>Cyber Security im Alltag</v>
      </c>
      <c r="B692" s="7" t="str">
        <f>IFERROR(__xludf.DUMMYFUNCTION("""COMPUTED_VALUE"""),"Everyday Cyber Security")</f>
        <v>Everyday Cyber Security</v>
      </c>
      <c r="C692" s="8" t="str">
        <f>IFERROR(__xludf.DUMMYFUNCTION("""COMPUTED_VALUE"""),"Unsere digitale Arbeitswelt bringt viele Chancen mit sich - aber auch Risiken. Jeder Einzelne muss dazu beitragen, dass Datenschutz und Account-Sicherheit groß geschrieben werden. Lerne in diesem Kurs u.a., wie du in drei Sekunden deinen Umgang mit E-Mail"&amp;"s sicherer machen kannst.")</f>
        <v>Unsere digitale Arbeitswelt bringt viele Chancen mit sich - aber auch Risiken. Jeder Einzelne muss dazu beitragen, dass Datenschutz und Account-Sicherheit groß geschrieben werden. Lerne in diesem Kurs u.a., wie du in drei Sekunden deinen Umgang mit E-Mails sicherer machen kannst.</v>
      </c>
      <c r="D692" s="8" t="str">
        <f>IFERROR(__xludf.DUMMYFUNCTION("""COMPUTED_VALUE"""),"Our digital world brings many opportunities - and new risks. Everyone must ensure that important data is protected and that accounts are secured. In this course, learn (among other things) how you can make your email communication more secure in just thre"&amp;"e seconds.")</f>
        <v>Our digital world brings many opportunities - and new risks. Everyone must ensure that important data is protected and that accounts are secured. In this course, learn (among other things) how you can make your email communication more secure in just three seconds.</v>
      </c>
      <c r="E692" s="25" t="str">
        <f>IFERROR(__xludf.DUMMYFUNCTION("""COMPUTED_VALUE"""),"Digital Literacy")</f>
        <v>Digital Literacy</v>
      </c>
      <c r="F692" s="10" t="str">
        <f>IFERROR(__xludf.DUMMYFUNCTION("""COMPUTED_VALUE"""),"Masterplan com GmbH - Edgar Scholl")</f>
        <v>Masterplan com GmbH - Edgar Scholl</v>
      </c>
      <c r="G692" s="11">
        <f>IFERROR(__xludf.DUMMYFUNCTION("""COMPUTED_VALUE"""),18.0)</f>
        <v>18</v>
      </c>
      <c r="H692" s="11">
        <f>IFERROR(__xludf.DUMMYFUNCTION("""COMPUTED_VALUE"""),11.0)</f>
        <v>11</v>
      </c>
      <c r="I692" s="12" t="str">
        <f>IFERROR(__xludf.DUMMYFUNCTION("""COMPUTED_VALUE"""),"English, German")</f>
        <v>English, German</v>
      </c>
      <c r="J692" s="12" t="str">
        <f>IFERROR(__xludf.DUMMYFUNCTION("""COMPUTED_VALUE"""),"German")</f>
        <v>German</v>
      </c>
      <c r="K692" s="13">
        <f>IFERROR(__xludf.DUMMYFUNCTION("""COMPUTED_VALUE"""),43613.0)</f>
        <v>43613</v>
      </c>
      <c r="L692" s="14" t="str">
        <f>IFERROR(__xludf.DUMMYFUNCTION("""COMPUTED_VALUE"""),"https://masterplan.com/courses/cyber-security")</f>
        <v>https://masterplan.com/courses/cyber-security</v>
      </c>
    </row>
    <row r="693">
      <c r="A693" s="15" t="str">
        <f>IFERROR(__xludf.DUMMYFUNCTION("""COMPUTED_VALUE"""),"Blockchain für Fortgeschrittene")</f>
        <v>Blockchain für Fortgeschrittene</v>
      </c>
      <c r="B693" s="16" t="str">
        <f>IFERROR(__xludf.DUMMYFUNCTION("""COMPUTED_VALUE"""),"Blockchain: A Deeper Dive")</f>
        <v>Blockchain: A Deeper Dive</v>
      </c>
      <c r="C693" s="17" t="str">
        <f>IFERROR(__xludf.DUMMYFUNCTION("""COMPUTED_VALUE"""),"Blockchain ist in aller Munde - doch wirklich wenige wissen, was es damit auf sich hat. Wenn man das System jedoch einmal richtig verstanden hat, bietet es unglaubliches Potenzial. Aber wie schaffen wir es, Blockchain sinnvoll im Alltag oder im Unternehme"&amp;"n zu integrieren?")</f>
        <v>Blockchain ist in aller Munde - doch wirklich wenige wissen, was es damit auf sich hat. Wenn man das System jedoch einmal richtig verstanden hat, bietet es unglaubliches Potenzial. Aber wie schaffen wir es, Blockchain sinnvoll im Alltag oder im Unternehmen zu integrieren?</v>
      </c>
      <c r="D693" s="17" t="str">
        <f>IFERROR(__xludf.DUMMYFUNCTION("""COMPUTED_VALUE"""),"Blockchain is on everyone's lips - but very few actually know what it is about. However, once you understand the system, it offers incredible potential. But how do we manage to integrate Blockchain sensibly in everyday life or in the company?")</f>
        <v>Blockchain is on everyone's lips - but very few actually know what it is about. However, once you understand the system, it offers incredible potential. But how do we manage to integrate Blockchain sensibly in everyday life or in the company?</v>
      </c>
      <c r="E693" s="25" t="str">
        <f>IFERROR(__xludf.DUMMYFUNCTION("""COMPUTED_VALUE"""),"Digital Literacy")</f>
        <v>Digital Literacy</v>
      </c>
      <c r="F693" s="19" t="str">
        <f>IFERROR(__xludf.DUMMYFUNCTION("""COMPUTED_VALUE"""),"Masterplan com GmbH - Julian Hosp")</f>
        <v>Masterplan com GmbH - Julian Hosp</v>
      </c>
      <c r="G693" s="20">
        <f>IFERROR(__xludf.DUMMYFUNCTION("""COMPUTED_VALUE"""),19.0)</f>
        <v>19</v>
      </c>
      <c r="H693" s="20">
        <f>IFERROR(__xludf.DUMMYFUNCTION("""COMPUTED_VALUE"""),9.0)</f>
        <v>9</v>
      </c>
      <c r="I693" s="21" t="str">
        <f>IFERROR(__xludf.DUMMYFUNCTION("""COMPUTED_VALUE"""),"English, German")</f>
        <v>English, German</v>
      </c>
      <c r="J693" s="21" t="str">
        <f>IFERROR(__xludf.DUMMYFUNCTION("""COMPUTED_VALUE"""),"German")</f>
        <v>German</v>
      </c>
      <c r="K693" s="22">
        <f>IFERROR(__xludf.DUMMYFUNCTION("""COMPUTED_VALUE"""),43609.0)</f>
        <v>43609</v>
      </c>
      <c r="L693" s="23" t="str">
        <f>IFERROR(__xludf.DUMMYFUNCTION("""COMPUTED_VALUE"""),"https://masterplan.com/courses/blockchain-fur-fortgeschrittene")</f>
        <v>https://masterplan.com/courses/blockchain-fur-fortgeschrittene</v>
      </c>
    </row>
    <row r="694">
      <c r="A694" s="6" t="str">
        <f>IFERROR(__xludf.DUMMYFUNCTION("""COMPUTED_VALUE"""),"Und warum gerade Sie? Der Arbeitgeber als Marke")</f>
        <v>Und warum gerade Sie? Der Arbeitgeber als Marke</v>
      </c>
      <c r="B694" s="7" t="str">
        <f>IFERROR(__xludf.DUMMYFUNCTION("""COMPUTED_VALUE"""),"Why Should I Choose you? The Employer as a Brand")</f>
        <v>Why Should I Choose you? The Employer as a Brand</v>
      </c>
      <c r="C694" s="8" t="str">
        <f>IFERROR(__xludf.DUMMYFUNCTION("""COMPUTED_VALUE"""),"Jede nicht passende Bewerbung kostet Unternehmen Zeit und Geld. Aber wie finden Organisationen die richtigen Mitarbeiter? Was zeichnet eine attraktive Arbeitgebermarke aus? Und was hat das mit Tinder und den Lochis zu tun?")</f>
        <v>Jede nicht passende Bewerbung kostet Unternehmen Zeit und Geld. Aber wie finden Organisationen die richtigen Mitarbeiter? Was zeichnet eine attraktive Arbeitgebermarke aus? Und was hat das mit Tinder und den Lochis zu tun?</v>
      </c>
      <c r="D694" s="8" t="str">
        <f>IFERROR(__xludf.DUMMYFUNCTION("""COMPUTED_VALUE"""),"Every unsuitable application costs companies time and money. But how do organizations find the right employees? What distinguishes an attractive employer brand? And what does it have to do with Tinder and the Lochis?")</f>
        <v>Every unsuitable application costs companies time and money. But how do organizations find the right employees? What distinguishes an attractive employer brand? And what does it have to do with Tinder and the Lochis?</v>
      </c>
      <c r="E694" s="26" t="str">
        <f>IFERROR(__xludf.DUMMYFUNCTION("""COMPUTED_VALUE"""),"Collaboration and Leadership")</f>
        <v>Collaboration and Leadership</v>
      </c>
      <c r="F694" s="10" t="str">
        <f>IFERROR(__xludf.DUMMYFUNCTION("""COMPUTED_VALUE"""),"Masterplan com GmbH - Robindro Ullah")</f>
        <v>Masterplan com GmbH - Robindro Ullah</v>
      </c>
      <c r="G694" s="11">
        <f>IFERROR(__xludf.DUMMYFUNCTION("""COMPUTED_VALUE"""),20.0)</f>
        <v>20</v>
      </c>
      <c r="H694" s="11">
        <f>IFERROR(__xludf.DUMMYFUNCTION("""COMPUTED_VALUE"""),16.0)</f>
        <v>16</v>
      </c>
      <c r="I694" s="12" t="str">
        <f>IFERROR(__xludf.DUMMYFUNCTION("""COMPUTED_VALUE"""),"English, German")</f>
        <v>English, German</v>
      </c>
      <c r="J694" s="12" t="str">
        <f>IFERROR(__xludf.DUMMYFUNCTION("""COMPUTED_VALUE"""),"German")</f>
        <v>German</v>
      </c>
      <c r="K694" s="13">
        <f>IFERROR(__xludf.DUMMYFUNCTION("""COMPUTED_VALUE"""),43606.0)</f>
        <v>43606</v>
      </c>
      <c r="L694" s="14" t="str">
        <f>IFERROR(__xludf.DUMMYFUNCTION("""COMPUTED_VALUE"""),"https://masterplan.com/courses/employer-branding")</f>
        <v>https://masterplan.com/courses/employer-branding</v>
      </c>
    </row>
    <row r="695">
      <c r="A695" s="15" t="str">
        <f>IFERROR(__xludf.DUMMYFUNCTION("""COMPUTED_VALUE"""),"Kundenzentrierung in einer digitalen Welt")</f>
        <v>Kundenzentrierung in einer digitalen Welt</v>
      </c>
      <c r="B695" s="16" t="str">
        <f>IFERROR(__xludf.DUMMYFUNCTION("""COMPUTED_VALUE"""),"Client Comes First: Digital Business Transformation")</f>
        <v>Client Comes First: Digital Business Transformation</v>
      </c>
      <c r="C695" s="17" t="str">
        <f>IFERROR(__xludf.DUMMYFUNCTION("""COMPUTED_VALUE"""),"Wie schaffen Unternehmen die digitale Transformation? Indem sie ihre Denkweise verändern, sagt Prof. Wolfgang Henseler. Wie das gelingen kann, welche Rolle die Mitarbeiter dabei spielen und was ein Turnschuh und das Wetter gemeinsam haben, erfährst du in "&amp;"diesem Kurs.")</f>
        <v>Wie schaffen Unternehmen die digitale Transformation? Indem sie ihre Denkweise verändern, sagt Prof. Wolfgang Henseler. Wie das gelingen kann, welche Rolle die Mitarbeiter dabei spielen und was ein Turnschuh und das Wetter gemeinsam haben, erfährst du in diesem Kurs.</v>
      </c>
      <c r="D695" s="17" t="str">
        <f>IFERROR(__xludf.DUMMYFUNCTION("""COMPUTED_VALUE"""),"How do companies achieve a digital transformation? Wolfgang Henseler says it is by changing their mindsets. In this course, you will learn how that can be done successfully, what role employees play, and what a sneaker and the weather have in common.")</f>
        <v>How do companies achieve a digital transformation? Wolfgang Henseler says it is by changing their mindsets. In this course, you will learn how that can be done successfully, what role employees play, and what a sneaker and the weather have in common.</v>
      </c>
      <c r="E695" s="18" t="str">
        <f>IFERROR(__xludf.DUMMYFUNCTION("""COMPUTED_VALUE"""),"Creativity and Innovation")</f>
        <v>Creativity and Innovation</v>
      </c>
      <c r="F695" s="19" t="str">
        <f>IFERROR(__xludf.DUMMYFUNCTION("""COMPUTED_VALUE"""),"Masterplan com GmbH - Wolfgang Henseler")</f>
        <v>Masterplan com GmbH - Wolfgang Henseler</v>
      </c>
      <c r="G695" s="20">
        <f>IFERROR(__xludf.DUMMYFUNCTION("""COMPUTED_VALUE"""),31.0)</f>
        <v>31</v>
      </c>
      <c r="H695" s="20">
        <f>IFERROR(__xludf.DUMMYFUNCTION("""COMPUTED_VALUE"""),12.0)</f>
        <v>12</v>
      </c>
      <c r="I695" s="21" t="str">
        <f>IFERROR(__xludf.DUMMYFUNCTION("""COMPUTED_VALUE"""),"English, German")</f>
        <v>English, German</v>
      </c>
      <c r="J695" s="21" t="str">
        <f>IFERROR(__xludf.DUMMYFUNCTION("""COMPUTED_VALUE"""),"English, German")</f>
        <v>English, German</v>
      </c>
      <c r="K695" s="22">
        <f>IFERROR(__xludf.DUMMYFUNCTION("""COMPUTED_VALUE"""),43601.0)</f>
        <v>43601</v>
      </c>
      <c r="L695" s="23" t="str">
        <f>IFERROR(__xludf.DUMMYFUNCTION("""COMPUTED_VALUE"""),"https://masterplan.com/courses/smarte-oekosysteme")</f>
        <v>https://masterplan.com/courses/smarte-oekosysteme</v>
      </c>
    </row>
    <row r="696">
      <c r="A696" s="6" t="str">
        <f>IFERROR(__xludf.DUMMYFUNCTION("""COMPUTED_VALUE"""),"Big Data im Handel")</f>
        <v>Big Data im Handel</v>
      </c>
      <c r="B696" s="7" t="str">
        <f>IFERROR(__xludf.DUMMYFUNCTION("""COMPUTED_VALUE"""),"Big Data in Retail")</f>
        <v>Big Data in Retail</v>
      </c>
      <c r="C696" s="8" t="str">
        <f>IFERROR(__xludf.DUMMYFUNCTION("""COMPUTED_VALUE"""),"Digitale Transformation und Datenanalyse sind längst im Handel angekommen. Welche Rolle spielt dabei Big Data? Wie können wir die uns verfügbaren Daten einsetzen, um unsere Kunden besser zu verstehen? Und was haben eigentlich Babywindeln mit Bier zu tun?")</f>
        <v>Digitale Transformation und Datenanalyse sind längst im Handel angekommen. Welche Rolle spielt dabei Big Data? Wie können wir die uns verfügbaren Daten einsetzen, um unsere Kunden besser zu verstehen? Und was haben eigentlich Babywindeln mit Bier zu tun?</v>
      </c>
      <c r="D696" s="8" t="str">
        <f>IFERROR(__xludf.DUMMYFUNCTION("""COMPUTED_VALUE"""),"Digital transformation and data analysis have arrived in retali a long time ago. What role does Big Data play? How can we use the data available to us to better understand our customers? And what do baby diapers have to do with beer?")</f>
        <v>Digital transformation and data analysis have arrived in retali a long time ago. What role does Big Data play? How can we use the data available to us to better understand our customers? And what do baby diapers have to do with beer?</v>
      </c>
      <c r="E696" s="25" t="str">
        <f>IFERROR(__xludf.DUMMYFUNCTION("""COMPUTED_VALUE"""),"Digital Literacy")</f>
        <v>Digital Literacy</v>
      </c>
      <c r="F696" s="10" t="str">
        <f>IFERROR(__xludf.DUMMYFUNCTION("""COMPUTED_VALUE"""),"Masterplan com GmbH - Thomas Vogler")</f>
        <v>Masterplan com GmbH - Thomas Vogler</v>
      </c>
      <c r="G696" s="11">
        <f>IFERROR(__xludf.DUMMYFUNCTION("""COMPUTED_VALUE"""),44.0)</f>
        <v>44</v>
      </c>
      <c r="H696" s="11">
        <f>IFERROR(__xludf.DUMMYFUNCTION("""COMPUTED_VALUE"""),25.0)</f>
        <v>25</v>
      </c>
      <c r="I696" s="12" t="str">
        <f>IFERROR(__xludf.DUMMYFUNCTION("""COMPUTED_VALUE"""),"English, German")</f>
        <v>English, German</v>
      </c>
      <c r="J696" s="12" t="str">
        <f>IFERROR(__xludf.DUMMYFUNCTION("""COMPUTED_VALUE"""),"English, German")</f>
        <v>English, German</v>
      </c>
      <c r="K696" s="13">
        <f>IFERROR(__xludf.DUMMYFUNCTION("""COMPUTED_VALUE"""),43592.0)</f>
        <v>43592</v>
      </c>
      <c r="L696" s="14" t="str">
        <f>IFERROR(__xludf.DUMMYFUNCTION("""COMPUTED_VALUE"""),"https://masterplan.com/courses/big-data-im-handel")</f>
        <v>https://masterplan.com/courses/big-data-im-handel</v>
      </c>
    </row>
    <row r="697">
      <c r="A697" s="15" t="str">
        <f>IFERROR(__xludf.DUMMYFUNCTION("""COMPUTED_VALUE"""),"YouTube Marketing: Eine Einführung")</f>
        <v>YouTube Marketing: Eine Einführung</v>
      </c>
      <c r="B697" s="16" t="str">
        <f>IFERROR(__xludf.DUMMYFUNCTION("""COMPUTED_VALUE"""),"YouTube Marketing: An Introduction")</f>
        <v>YouTube Marketing: An Introduction</v>
      </c>
      <c r="C697" s="17" t="str">
        <f>IFERROR(__xludf.DUMMYFUNCTION("""COMPUTED_VALUE"""),"Nicht auf YouTube präsent zu sein - das kann sich heute kein Unternehmen mehr leisten. Aber wie präsentiert man sich erfolgreich auf der Videoplattform? Was macht BibisBeautyPalace so erfolgreich? Oder wie generiert LeFloid mehr als 1 Million Klicks?")</f>
        <v>Nicht auf YouTube präsent zu sein - das kann sich heute kein Unternehmen mehr leisten. Aber wie präsentiert man sich erfolgreich auf der Videoplattform? Was macht BibisBeautyPalace so erfolgreich? Oder wie generiert LeFloid mehr als 1 Million Klicks?</v>
      </c>
      <c r="D697" s="17" t="str">
        <f>IFERROR(__xludf.DUMMYFUNCTION("""COMPUTED_VALUE"""),"Not being present on YouTube - no company can afford that anymore. But how do you present yourself successfully on the video platform? What makes BibisBeautyPalace so successful? Or how does LeFloid generate more than 1 million clicks?")</f>
        <v>Not being present on YouTube - no company can afford that anymore. But how do you present yourself successfully on the video platform? What makes BibisBeautyPalace so successful? Or how does LeFloid generate more than 1 million clicks?</v>
      </c>
      <c r="E697" s="9" t="str">
        <f>IFERROR(__xludf.DUMMYFUNCTION("""COMPUTED_VALUE"""),"Global Citizenship")</f>
        <v>Global Citizenship</v>
      </c>
      <c r="F697" s="19" t="str">
        <f>IFERROR(__xludf.DUMMYFUNCTION("""COMPUTED_VALUE"""),"Masterplan com GmbH - Hendrik Unger")</f>
        <v>Masterplan com GmbH - Hendrik Unger</v>
      </c>
      <c r="G697" s="20">
        <f>IFERROR(__xludf.DUMMYFUNCTION("""COMPUTED_VALUE"""),27.0)</f>
        <v>27</v>
      </c>
      <c r="H697" s="20">
        <f>IFERROR(__xludf.DUMMYFUNCTION("""COMPUTED_VALUE"""),20.0)</f>
        <v>20</v>
      </c>
      <c r="I697" s="21" t="str">
        <f>IFERROR(__xludf.DUMMYFUNCTION("""COMPUTED_VALUE"""),"English, German")</f>
        <v>English, German</v>
      </c>
      <c r="J697" s="21" t="str">
        <f>IFERROR(__xludf.DUMMYFUNCTION("""COMPUTED_VALUE"""),"German")</f>
        <v>German</v>
      </c>
      <c r="K697" s="22">
        <f>IFERROR(__xludf.DUMMYFUNCTION("""COMPUTED_VALUE"""),43578.0)</f>
        <v>43578</v>
      </c>
      <c r="L697" s="23" t="str">
        <f>IFERROR(__xludf.DUMMYFUNCTION("""COMPUTED_VALUE"""),"https://masterplan.com/courses/youtube-marketing")</f>
        <v>https://masterplan.com/courses/youtube-marketing</v>
      </c>
    </row>
    <row r="698">
      <c r="A698" s="6" t="str">
        <f>IFERROR(__xludf.DUMMYFUNCTION("""COMPUTED_VALUE"""),"Hackathons für Einsteiger")</f>
        <v>Hackathons für Einsteiger</v>
      </c>
      <c r="B698" s="7" t="str">
        <f>IFERROR(__xludf.DUMMYFUNCTION("""COMPUTED_VALUE"""),"A Beginner's Guide to Running Successful Hackathons")</f>
        <v>A Beginner's Guide to Running Successful Hackathons</v>
      </c>
      <c r="C698" s="8" t="str">
        <f>IFERROR(__xludf.DUMMYFUNCTION("""COMPUTED_VALUE"""),"Facebook, Trivago, das Handelsblatt oder Lidl - Sie alle tun es. Sie veranstalten einen Hackathon. Was es damit auf sich hat, was Bier und Coding gemeinsam haben und warum auch du unbedingt darüber nachdenken solltest, einen Hackathon zu veranstalten, erf"&amp;"ährst du in diesem Kurs.")</f>
        <v>Facebook, Trivago, das Handelsblatt oder Lidl - Sie alle tun es. Sie veranstalten einen Hackathon. Was es damit auf sich hat, was Bier und Coding gemeinsam haben und warum auch du unbedingt darüber nachdenken solltest, einen Hackathon zu veranstalten, erfährst du in diesem Kurs.</v>
      </c>
      <c r="D698" s="8" t="str">
        <f>IFERROR(__xludf.DUMMYFUNCTION("""COMPUTED_VALUE"""),"Facebook, Trivago, the Handelsblatt or Lidl - they all do it. They organize a hackathon. In this course, you will learn what it is all about, what beer and coding have in common and why you should definitely think about organizing a hackathon.")</f>
        <v>Facebook, Trivago, the Handelsblatt or Lidl - they all do it. They organize a hackathon. In this course, you will learn what it is all about, what beer and coding have in common and why you should definitely think about organizing a hackathon.</v>
      </c>
      <c r="E698" s="18" t="str">
        <f>IFERROR(__xludf.DUMMYFUNCTION("""COMPUTED_VALUE"""),"Creativity and Innovation")</f>
        <v>Creativity and Innovation</v>
      </c>
      <c r="F698" s="10" t="str">
        <f>IFERROR(__xludf.DUMMYFUNCTION("""COMPUTED_VALUE"""),"Masterplan com GmbH - Tobias Jost")</f>
        <v>Masterplan com GmbH - Tobias Jost</v>
      </c>
      <c r="G698" s="11">
        <f>IFERROR(__xludf.DUMMYFUNCTION("""COMPUTED_VALUE"""),38.0)</f>
        <v>38</v>
      </c>
      <c r="H698" s="11">
        <f>IFERROR(__xludf.DUMMYFUNCTION("""COMPUTED_VALUE"""),22.0)</f>
        <v>22</v>
      </c>
      <c r="I698" s="12" t="str">
        <f>IFERROR(__xludf.DUMMYFUNCTION("""COMPUTED_VALUE"""),"English, German")</f>
        <v>English, German</v>
      </c>
      <c r="J698" s="12" t="str">
        <f>IFERROR(__xludf.DUMMYFUNCTION("""COMPUTED_VALUE"""),"German")</f>
        <v>German</v>
      </c>
      <c r="K698" s="13">
        <f>IFERROR(__xludf.DUMMYFUNCTION("""COMPUTED_VALUE"""),43559.0)</f>
        <v>43559</v>
      </c>
      <c r="L698" s="14" t="str">
        <f>IFERROR(__xludf.DUMMYFUNCTION("""COMPUTED_VALUE"""),"https://masterplan.com/courses/hackathon")</f>
        <v>https://masterplan.com/courses/hackathon</v>
      </c>
    </row>
    <row r="699">
      <c r="A699" s="15" t="str">
        <f>IFERROR(__xludf.DUMMYFUNCTION("""COMPUTED_VALUE"""),"Wertschätzung und Nachhaltigkeit: Einhorns Geheimnis (Case Study)")</f>
        <v>Wertschätzung und Nachhaltigkeit: Einhorns Geheimnis (Case Study)</v>
      </c>
      <c r="B699" s="16" t="str">
        <f>IFERROR(__xludf.DUMMYFUNCTION("""COMPUTED_VALUE"""),"Appreciation, Sustainability, Success: The Secret of Einhorn (Case study)")</f>
        <v>Appreciation, Sustainability, Success: The Secret of Einhorn (Case study)</v>
      </c>
      <c r="C699" s="17" t="str">
        <f>IFERROR(__xludf.DUMMYFUNCTION("""COMPUTED_VALUE"""),"Mit Kondomen die Welt verbessern - geht das? Wenn man ""einhornzigartig"" ist und ""fairstainable"" produziert, dann schon, sagen die Einhörner aus Berlin. Wir haben einen Blick hinter die Kulissen des New Work-Wunders geworfen und zeigen euch die Philoso"&amp;"phie der einhorn products GmbH.")</f>
        <v>Mit Kondomen die Welt verbessern - geht das? Wenn man "einhornzigartig" ist und "fairstainable" produziert, dann schon, sagen die Einhörner aus Berlin. Wir haben einen Blick hinter die Kulissen des New Work-Wunders geworfen und zeigen euch die Philosophie der einhorn products GmbH.</v>
      </c>
      <c r="D699" s="17" t="str">
        <f>IFERROR(__xludf.DUMMYFUNCTION("""COMPUTED_VALUE"""),"Improving the world with condoms - is that possible? If you are ""unicornique"" and produce ""fairstainable"", then yes, say the unicorns from Berlin. We take a look behind the scenes of the new work miracle and show you the philosophy of Einhorn Products"&amp;" GmbH.")</f>
        <v>Improving the world with condoms - is that possible? If you are "unicornique" and produce "fairstainable", then yes, say the unicorns from Berlin. We take a look behind the scenes of the new work miracle and show you the philosophy of Einhorn Products GmbH.</v>
      </c>
      <c r="E699" s="26" t="str">
        <f>IFERROR(__xludf.DUMMYFUNCTION("""COMPUTED_VALUE"""),"Collaboration and Leadership")</f>
        <v>Collaboration and Leadership</v>
      </c>
      <c r="F699" s="19" t="str">
        <f>IFERROR(__xludf.DUMMYFUNCTION("""COMPUTED_VALUE"""),"Masterplan com GmbH - Philipp Siefer")</f>
        <v>Masterplan com GmbH - Philipp Siefer</v>
      </c>
      <c r="G699" s="20">
        <f>IFERROR(__xludf.DUMMYFUNCTION("""COMPUTED_VALUE"""),31.0)</f>
        <v>31</v>
      </c>
      <c r="H699" s="20">
        <f>IFERROR(__xludf.DUMMYFUNCTION("""COMPUTED_VALUE"""),19.0)</f>
        <v>19</v>
      </c>
      <c r="I699" s="21" t="str">
        <f>IFERROR(__xludf.DUMMYFUNCTION("""COMPUTED_VALUE"""),"English, German")</f>
        <v>English, German</v>
      </c>
      <c r="J699" s="21" t="str">
        <f>IFERROR(__xludf.DUMMYFUNCTION("""COMPUTED_VALUE"""),"English, German")</f>
        <v>English, German</v>
      </c>
      <c r="K699" s="22">
        <f>IFERROR(__xludf.DUMMYFUNCTION("""COMPUTED_VALUE"""),43544.0)</f>
        <v>43544</v>
      </c>
      <c r="L699" s="23" t="str">
        <f>IFERROR(__xludf.DUMMYFUNCTION("""COMPUTED_VALUE"""),"https://masterplan.com/courses/das-geheimnis-von-einhorn")</f>
        <v>https://masterplan.com/courses/das-geheimnis-von-einhorn</v>
      </c>
    </row>
    <row r="700">
      <c r="A700" s="6" t="str">
        <f>IFERROR(__xludf.DUMMYFUNCTION("""COMPUTED_VALUE"""),"Blockchain für Einsteiger")</f>
        <v>Blockchain für Einsteiger</v>
      </c>
      <c r="B700" s="7" t="str">
        <f>IFERROR(__xludf.DUMMYFUNCTION("""COMPUTED_VALUE"""),"Blockchain 101")</f>
        <v>Blockchain 101</v>
      </c>
      <c r="C700" s="8" t="str">
        <f>IFERROR(__xludf.DUMMYFUNCTION("""COMPUTED_VALUE"""),"Blockchain hat fast jeder schon einmal gehört. Aber was genau verbirgt sich hinter der viel diskutierten Technologie und welche Möglichkeiten bietet sie uns in der Zukunft? Und warum könnte das sogar für den Bauern, der in Lateinamerika Kaffee anbaut, int"&amp;"eressant sein?")</f>
        <v>Blockchain hat fast jeder schon einmal gehört. Aber was genau verbirgt sich hinter der viel diskutierten Technologie und welche Möglichkeiten bietet sie uns in der Zukunft? Und warum könnte das sogar für den Bauern, der in Lateinamerika Kaffee anbaut, interessant sein?</v>
      </c>
      <c r="D700" s="8" t="str">
        <f>IFERROR(__xludf.DUMMYFUNCTION("""COMPUTED_VALUE"""),"Almost everyone has heard the word Blockchain at least once. But what exactly is hidden behind the often discussed technology and what possibilities does it offer us in the future? And why could it even be interesting for farmers who grow coffee in Latin "&amp;"America?")</f>
        <v>Almost everyone has heard the word Blockchain at least once. But what exactly is hidden behind the often discussed technology and what possibilities does it offer us in the future? And why could it even be interesting for farmers who grow coffee in Latin America?</v>
      </c>
      <c r="E700" s="25" t="str">
        <f>IFERROR(__xludf.DUMMYFUNCTION("""COMPUTED_VALUE"""),"Digital Literacy")</f>
        <v>Digital Literacy</v>
      </c>
      <c r="F700" s="10" t="str">
        <f>IFERROR(__xludf.DUMMYFUNCTION("""COMPUTED_VALUE"""),"Masterplan com GmbH - Julian Hosp")</f>
        <v>Masterplan com GmbH - Julian Hosp</v>
      </c>
      <c r="G700" s="11">
        <f>IFERROR(__xludf.DUMMYFUNCTION("""COMPUTED_VALUE"""),43.0)</f>
        <v>43</v>
      </c>
      <c r="H700" s="11">
        <f>IFERROR(__xludf.DUMMYFUNCTION("""COMPUTED_VALUE"""),3.0)</f>
        <v>3</v>
      </c>
      <c r="I700" s="12" t="str">
        <f>IFERROR(__xludf.DUMMYFUNCTION("""COMPUTED_VALUE"""),"English, German")</f>
        <v>English, German</v>
      </c>
      <c r="J700" s="12" t="str">
        <f>IFERROR(__xludf.DUMMYFUNCTION("""COMPUTED_VALUE"""),"German")</f>
        <v>German</v>
      </c>
      <c r="K700" s="13">
        <f>IFERROR(__xludf.DUMMYFUNCTION("""COMPUTED_VALUE"""),43536.0)</f>
        <v>43536</v>
      </c>
      <c r="L700" s="14" t="str">
        <f>IFERROR(__xludf.DUMMYFUNCTION("""COMPUTED_VALUE"""),"https://masterplan.com/courses/blockchain-fuer-einsteiger")</f>
        <v>https://masterplan.com/courses/blockchain-fuer-einsteiger</v>
      </c>
    </row>
    <row r="701">
      <c r="A701" s="15" t="str">
        <f>IFERROR(__xludf.DUMMYFUNCTION("""COMPUTED_VALUE"""),"360-Grad-Videos")</f>
        <v>360-Grad-Videos</v>
      </c>
      <c r="B701" s="16" t="str">
        <f>IFERROR(__xludf.DUMMYFUNCTION("""COMPUTED_VALUE"""),"360-Degree Videos")</f>
        <v>360-Degree Videos</v>
      </c>
      <c r="C701" s="17" t="str">
        <f>IFERROR(__xludf.DUMMYFUNCTION("""COMPUTED_VALUE"""),"360-Grad-Videos lassen Zuschauer zum unmittelbaren Teil einer Geschichte werden. Welche Technik braucht man dafür? Worauf kommt es vor und nach dem Dreh an? Und welche Potentiale eröffnet dieses Video-Format für Unternehmen?")</f>
        <v>360-Grad-Videos lassen Zuschauer zum unmittelbaren Teil einer Geschichte werden. Welche Technik braucht man dafür? Worauf kommt es vor und nach dem Dreh an? Und welche Potentiale eröffnet dieses Video-Format für Unternehmen?</v>
      </c>
      <c r="D701" s="17" t="str">
        <f>IFERROR(__xludf.DUMMYFUNCTION("""COMPUTED_VALUE"""),"360-degree videos let viewers become an immediate part of a story. Which technology is needed for this? What is important before and after the shoot? And what potential does this video format open up for companies?")</f>
        <v>360-degree videos let viewers become an immediate part of a story. Which technology is needed for this? What is important before and after the shoot? And what potential does this video format open up for companies?</v>
      </c>
      <c r="E701" s="25" t="str">
        <f>IFERROR(__xludf.DUMMYFUNCTION("""COMPUTED_VALUE"""),"Digital Literacy")</f>
        <v>Digital Literacy</v>
      </c>
      <c r="F701" s="19" t="str">
        <f>IFERROR(__xludf.DUMMYFUNCTION("""COMPUTED_VALUE"""),"Masterplan com GmbH - Susanne Dickel")</f>
        <v>Masterplan com GmbH - Susanne Dickel</v>
      </c>
      <c r="G701" s="20">
        <f>IFERROR(__xludf.DUMMYFUNCTION("""COMPUTED_VALUE"""),25.0)</f>
        <v>25</v>
      </c>
      <c r="H701" s="20">
        <f>IFERROR(__xludf.DUMMYFUNCTION("""COMPUTED_VALUE"""),17.0)</f>
        <v>17</v>
      </c>
      <c r="I701" s="21" t="str">
        <f>IFERROR(__xludf.DUMMYFUNCTION("""COMPUTED_VALUE"""),"English, German")</f>
        <v>English, German</v>
      </c>
      <c r="J701" s="21" t="str">
        <f>IFERROR(__xludf.DUMMYFUNCTION("""COMPUTED_VALUE"""),"German")</f>
        <v>German</v>
      </c>
      <c r="K701" s="22">
        <f>IFERROR(__xludf.DUMMYFUNCTION("""COMPUTED_VALUE"""),43532.0)</f>
        <v>43532</v>
      </c>
      <c r="L701" s="23" t="str">
        <f>IFERROR(__xludf.DUMMYFUNCTION("""COMPUTED_VALUE"""),"https://masterplan.com/courses/360-grad-videos")</f>
        <v>https://masterplan.com/courses/360-grad-videos</v>
      </c>
    </row>
    <row r="702">
      <c r="A702" s="6" t="str">
        <f>IFERROR(__xludf.DUMMYFUNCTION("""COMPUTED_VALUE"""),"Kundenloyalität messen: Der Net Promoter Score")</f>
        <v>Kundenloyalität messen: Der Net Promoter Score</v>
      </c>
      <c r="B702" s="7" t="str">
        <f>IFERROR(__xludf.DUMMYFUNCTION("""COMPUTED_VALUE"""),"Measuring Customer Loyalty: The Net Promoter Score")</f>
        <v>Measuring Customer Loyalty: The Net Promoter Score</v>
      </c>
      <c r="C702" s="8" t="str">
        <f>IFERROR(__xludf.DUMMYFUNCTION("""COMPUTED_VALUE"""),"Zwei Drittel der Fortune 1000 Unternehmen den NPS als treibende Kennzahl - aber kann eine einzige Zahl wirklich Unternehmenserfolg voraussagen? Wir beleuchten das Phänomen Net Promoter Score genauer.")</f>
        <v>Zwei Drittel der Fortune 1000 Unternehmen den NPS als treibende Kennzahl - aber kann eine einzige Zahl wirklich Unternehmenserfolg voraussagen? Wir beleuchten das Phänomen Net Promoter Score genauer.</v>
      </c>
      <c r="D702" s="8" t="str">
        <f>IFERROR(__xludf.DUMMYFUNCTION("""COMPUTED_VALUE"""),"Two-thirds of Fortune 1000 companies use NPS as a driving metric - but can a single number really predict business success? We take a closer look at the Net Promoter Score phenomenon.")</f>
        <v>Two-thirds of Fortune 1000 companies use NPS as a driving metric - but can a single number really predict business success? We take a closer look at the Net Promoter Score phenomenon.</v>
      </c>
      <c r="E702" s="9" t="str">
        <f>IFERROR(__xludf.DUMMYFUNCTION("""COMPUTED_VALUE"""),"Global Citizenship")</f>
        <v>Global Citizenship</v>
      </c>
      <c r="F702" s="10" t="str">
        <f>IFERROR(__xludf.DUMMYFUNCTION("""COMPUTED_VALUE"""),"Masterplan com GmbH - Daniel Graewe")</f>
        <v>Masterplan com GmbH - Daniel Graewe</v>
      </c>
      <c r="G702" s="11">
        <f>IFERROR(__xludf.DUMMYFUNCTION("""COMPUTED_VALUE"""),12.0)</f>
        <v>12</v>
      </c>
      <c r="H702" s="11">
        <f>IFERROR(__xludf.DUMMYFUNCTION("""COMPUTED_VALUE"""),13.0)</f>
        <v>13</v>
      </c>
      <c r="I702" s="12" t="str">
        <f>IFERROR(__xludf.DUMMYFUNCTION("""COMPUTED_VALUE"""),"English, German")</f>
        <v>English, German</v>
      </c>
      <c r="J702" s="12" t="str">
        <f>IFERROR(__xludf.DUMMYFUNCTION("""COMPUTED_VALUE"""),"Text only")</f>
        <v>Text only</v>
      </c>
      <c r="K702" s="13">
        <f>IFERROR(__xludf.DUMMYFUNCTION("""COMPUTED_VALUE"""),43530.0)</f>
        <v>43530</v>
      </c>
      <c r="L702" s="14" t="str">
        <f>IFERROR(__xludf.DUMMYFUNCTION("""COMPUTED_VALUE"""),"https://masterplan.com/courses/net-promoter-score")</f>
        <v>https://masterplan.com/courses/net-promoter-score</v>
      </c>
    </row>
    <row r="703">
      <c r="A703" s="15" t="str">
        <f>IFERROR(__xludf.DUMMYFUNCTION("""COMPUTED_VALUE"""),"Sicher und Ehrlich: Ein Überblick über Compliance")</f>
        <v>Sicher und Ehrlich: Ein Überblick über Compliance</v>
      </c>
      <c r="B703" s="16" t="str">
        <f>IFERROR(__xludf.DUMMYFUNCTION("""COMPUTED_VALUE"""),"Honest and Secure: Managing Enterprise Compliance")</f>
        <v>Honest and Secure: Managing Enterprise Compliance</v>
      </c>
      <c r="C703" s="17" t="str">
        <f>IFERROR(__xludf.DUMMYFUNCTION("""COMPUTED_VALUE"""),"Jedes Unternehmen muss den rechtlichen Rahmen kennen, in dem es sich bewegt. Doch welchen Anforderungen, z.B. im Datenschutz, muss ich entsprechen? Wie gehe ich mit Risiken und Notfällen um? Und was kann ich tun, damit sich meine Mitarbeitenden an die Reg"&amp;"eln halten?")</f>
        <v>Jedes Unternehmen muss den rechtlichen Rahmen kennen, in dem es sich bewegt. Doch welchen Anforderungen, z.B. im Datenschutz, muss ich entsprechen? Wie gehe ich mit Risiken und Notfällen um? Und was kann ich tun, damit sich meine Mitarbeitenden an die Regeln halten?</v>
      </c>
      <c r="D703" s="17" t="str">
        <f>IFERROR(__xludf.DUMMYFUNCTION("""COMPUTED_VALUE"""),"Every company must know and comply with the legal framework in which it operates. But which requirements do I have to meet today? How do I deal with risks and emergencies? And what can I do to ensure that my employees also abide by the rules?")</f>
        <v>Every company must know and comply with the legal framework in which it operates. But which requirements do I have to meet today? How do I deal with risks and emergencies? And what can I do to ensure that my employees also abide by the rules?</v>
      </c>
      <c r="E703" s="25" t="str">
        <f>IFERROR(__xludf.DUMMYFUNCTION("""COMPUTED_VALUE"""),"Digital Literacy")</f>
        <v>Digital Literacy</v>
      </c>
      <c r="F703" s="19" t="str">
        <f>IFERROR(__xludf.DUMMYFUNCTION("""COMPUTED_VALUE"""),"Masterplan com GmbH - Daniel Graewe")</f>
        <v>Masterplan com GmbH - Daniel Graewe</v>
      </c>
      <c r="G703" s="20">
        <f>IFERROR(__xludf.DUMMYFUNCTION("""COMPUTED_VALUE"""),40.0)</f>
        <v>40</v>
      </c>
      <c r="H703" s="20">
        <f>IFERROR(__xludf.DUMMYFUNCTION("""COMPUTED_VALUE"""),27.0)</f>
        <v>27</v>
      </c>
      <c r="I703" s="21" t="str">
        <f>IFERROR(__xludf.DUMMYFUNCTION("""COMPUTED_VALUE"""),"English, German")</f>
        <v>English, German</v>
      </c>
      <c r="J703" s="21" t="str">
        <f>IFERROR(__xludf.DUMMYFUNCTION("""COMPUTED_VALUE"""),"German")</f>
        <v>German</v>
      </c>
      <c r="K703" s="22">
        <f>IFERROR(__xludf.DUMMYFUNCTION("""COMPUTED_VALUE"""),43515.0)</f>
        <v>43515</v>
      </c>
      <c r="L703" s="23" t="str">
        <f>IFERROR(__xludf.DUMMYFUNCTION("""COMPUTED_VALUE"""),"https://masterplan.com/courses/compliance")</f>
        <v>https://masterplan.com/courses/compliance</v>
      </c>
    </row>
    <row r="704">
      <c r="A704" s="6" t="str">
        <f>IFERROR(__xludf.DUMMYFUNCTION("""COMPUTED_VALUE"""),"Geschäftsmodelle für eine digitale Zeit")</f>
        <v>Geschäftsmodelle für eine digitale Zeit</v>
      </c>
      <c r="B704" s="7" t="str">
        <f>IFERROR(__xludf.DUMMYFUNCTION("""COMPUTED_VALUE"""),"Business Models for the Digital Age")</f>
        <v>Business Models for the Digital Age</v>
      </c>
      <c r="C704" s="8" t="str">
        <f>IFERROR(__xludf.DUMMYFUNCTION("""COMPUTED_VALUE"""),"Warum müssen wir unsere Geschäftsmodelle an die Digitalisierung anpassen? Was sind die Geschäftsmodelle, an denen wir uns heute orientieren können? Und warum ist die Netflix-Serie “House of Cards” Beispiel für eine erfolgreiche Transformation?")</f>
        <v>Warum müssen wir unsere Geschäftsmodelle an die Digitalisierung anpassen? Was sind die Geschäftsmodelle, an denen wir uns heute orientieren können? Und warum ist die Netflix-Serie “House of Cards” Beispiel für eine erfolgreiche Transformation?</v>
      </c>
      <c r="D704" s="8" t="str">
        <f>IFERROR(__xludf.DUMMYFUNCTION("""COMPUTED_VALUE"""),"Why do we need to adapt our business models to digitalization? What are the business models that we can use today as a guide? And why is the Netflix series ""House of Cards"" an example of successful transformation?")</f>
        <v>Why do we need to adapt our business models to digitalization? What are the business models that we can use today as a guide? And why is the Netflix series "House of Cards" an example of successful transformation?</v>
      </c>
      <c r="E704" s="9" t="str">
        <f>IFERROR(__xludf.DUMMYFUNCTION("""COMPUTED_VALUE"""),"Global Citizenship")</f>
        <v>Global Citizenship</v>
      </c>
      <c r="F704" s="10" t="str">
        <f>IFERROR(__xludf.DUMMYFUNCTION("""COMPUTED_VALUE"""),"Masterplan com GmbH - Carsten Linz")</f>
        <v>Masterplan com GmbH - Carsten Linz</v>
      </c>
      <c r="G704" s="11">
        <f>IFERROR(__xludf.DUMMYFUNCTION("""COMPUTED_VALUE"""),18.0)</f>
        <v>18</v>
      </c>
      <c r="H704" s="11">
        <f>IFERROR(__xludf.DUMMYFUNCTION("""COMPUTED_VALUE"""),22.0)</f>
        <v>22</v>
      </c>
      <c r="I704" s="12" t="str">
        <f>IFERROR(__xludf.DUMMYFUNCTION("""COMPUTED_VALUE"""),"English, German")</f>
        <v>English, German</v>
      </c>
      <c r="J704" s="12" t="str">
        <f>IFERROR(__xludf.DUMMYFUNCTION("""COMPUTED_VALUE"""),"English, German")</f>
        <v>English, German</v>
      </c>
      <c r="K704" s="13">
        <f>IFERROR(__xludf.DUMMYFUNCTION("""COMPUTED_VALUE"""),43500.0)</f>
        <v>43500</v>
      </c>
      <c r="L704" s="14" t="str">
        <f>IFERROR(__xludf.DUMMYFUNCTION("""COMPUTED_VALUE"""),"https://masterplan.com/courses/digitale-geschaeftsmodelle")</f>
        <v>https://masterplan.com/courses/digitale-geschaeftsmodelle</v>
      </c>
    </row>
    <row r="705">
      <c r="A705" s="15" t="str">
        <f>IFERROR(__xludf.DUMMYFUNCTION("""COMPUTED_VALUE"""),"Volle Aufmerksamkeit: True Fruits' Markenstrategie (Case Study)")</f>
        <v>Volle Aufmerksamkeit: True Fruits' Markenstrategie (Case Study)</v>
      </c>
      <c r="B705" s="16" t="str">
        <f>IFERROR(__xludf.DUMMYFUNCTION("""COMPUTED_VALUE"""),"Social Media Branding with True Fruits (Case study)")</f>
        <v>Social Media Branding with True Fruits (Case study)</v>
      </c>
      <c r="C705" s="17" t="str">
        <f>IFERROR(__xludf.DUMMYFUNCTION("""COMPUTED_VALUE"""),"Kaum jemand polarisiert und unterhält so sehr wie die Marketing-Experten vom Smoothie-Hersteller true fruits. Wir klären anhand dieses unkonventionellen Fallbeispiels: Was ist das große Geheimnis von true fruits?")</f>
        <v>Kaum jemand polarisiert und unterhält so sehr wie die Marketing-Experten vom Smoothie-Hersteller true fruits. Wir klären anhand dieses unkonventionellen Fallbeispiels: Was ist das große Geheimnis von true fruits?</v>
      </c>
      <c r="D705" s="17" t="str">
        <f>IFERROR(__xludf.DUMMYFUNCTION("""COMPUTED_VALUE"""),"Hardly anyone polarizes and entertains as much as the marketing experts from the smoothie manufacturer true fruits. We use this unconventional case study to clarify: what is true fruits' biggest secret?")</f>
        <v>Hardly anyone polarizes and entertains as much as the marketing experts from the smoothie manufacturer true fruits. We use this unconventional case study to clarify: what is true fruits' biggest secret?</v>
      </c>
      <c r="E705" s="9" t="str">
        <f>IFERROR(__xludf.DUMMYFUNCTION("""COMPUTED_VALUE"""),"Global Citizenship")</f>
        <v>Global Citizenship</v>
      </c>
      <c r="F705" s="19" t="str">
        <f>IFERROR(__xludf.DUMMYFUNCTION("""COMPUTED_VALUE"""),"Masterplan com GmbH - Nic Lecloux")</f>
        <v>Masterplan com GmbH - Nic Lecloux</v>
      </c>
      <c r="G705" s="20">
        <f>IFERROR(__xludf.DUMMYFUNCTION("""COMPUTED_VALUE"""),18.0)</f>
        <v>18</v>
      </c>
      <c r="H705" s="20">
        <f>IFERROR(__xludf.DUMMYFUNCTION("""COMPUTED_VALUE"""),3.0)</f>
        <v>3</v>
      </c>
      <c r="I705" s="21" t="str">
        <f>IFERROR(__xludf.DUMMYFUNCTION("""COMPUTED_VALUE"""),"English, German")</f>
        <v>English, German</v>
      </c>
      <c r="J705" s="21" t="str">
        <f>IFERROR(__xludf.DUMMYFUNCTION("""COMPUTED_VALUE"""),"German")</f>
        <v>German</v>
      </c>
      <c r="K705" s="22">
        <f>IFERROR(__xludf.DUMMYFUNCTION("""COMPUTED_VALUE"""),43496.0)</f>
        <v>43496</v>
      </c>
      <c r="L705" s="23" t="str">
        <f>IFERROR(__xludf.DUMMYFUNCTION("""COMPUTED_VALUE"""),"https://masterplan.com/courses/das-social-media-geheimnis-von-true-fruits")</f>
        <v>https://masterplan.com/courses/das-social-media-geheimnis-von-true-fruits</v>
      </c>
    </row>
    <row r="706">
      <c r="A706" s="6" t="str">
        <f>IFERROR(__xludf.DUMMYFUNCTION("""COMPUTED_VALUE"""),"Datenschutz im Unternehmen")</f>
        <v>Datenschutz im Unternehmen</v>
      </c>
      <c r="B706" s="7" t="str">
        <f>IFERROR(__xludf.DUMMYFUNCTION("""COMPUTED_VALUE"""),"Data Protection in the Workplace")</f>
        <v>Data Protection in the Workplace</v>
      </c>
      <c r="C706" s="8" t="str">
        <f>IFERROR(__xludf.DUMMYFUNCTION("""COMPUTED_VALUE"""),"Noch nie wurden so viele Daten generiert und analysiert wie heute - Tendenz steigend. Umso wichtiger ist es, besonders die persönlichen Daten zu schützen. Aber wie schaffe ich das überhaupt? Was sind die absoluten Tabus in Sachen Datenschutz und was ist u"&amp;"nverzichtbar?")</f>
        <v>Noch nie wurden so viele Daten generiert und analysiert wie heute - Tendenz steigend. Umso wichtiger ist es, besonders die persönlichen Daten zu schützen. Aber wie schaffe ich das überhaupt? Was sind die absoluten Tabus in Sachen Datenschutz und was ist unverzichtbar?</v>
      </c>
      <c r="D706" s="8" t="str">
        <f>IFERROR(__xludf.DUMMYFUNCTION("""COMPUTED_VALUE"""),"Never before have so many data been generated and analyzed - and the trend is rising. This makes it even more important to protect personal data. But how can I do that? What are the absolute taboos and what is indispensable when it comes to data protectio"&amp;"n?")</f>
        <v>Never before have so many data been generated and analyzed - and the trend is rising. This makes it even more important to protect personal data. But how can I do that? What are the absolute taboos and what is indispensable when it comes to data protection?</v>
      </c>
      <c r="E706" s="25" t="str">
        <f>IFERROR(__xludf.DUMMYFUNCTION("""COMPUTED_VALUE"""),"Digital Literacy")</f>
        <v>Digital Literacy</v>
      </c>
      <c r="F706" s="10" t="str">
        <f>IFERROR(__xludf.DUMMYFUNCTION("""COMPUTED_VALUE"""),"Masterplan com GmbH - Caroline Töpfer")</f>
        <v>Masterplan com GmbH - Caroline Töpfer</v>
      </c>
      <c r="G706" s="11">
        <f>IFERROR(__xludf.DUMMYFUNCTION("""COMPUTED_VALUE"""),31.0)</f>
        <v>31</v>
      </c>
      <c r="H706" s="11">
        <f>IFERROR(__xludf.DUMMYFUNCTION("""COMPUTED_VALUE"""),19.0)</f>
        <v>19</v>
      </c>
      <c r="I706" s="12" t="str">
        <f>IFERROR(__xludf.DUMMYFUNCTION("""COMPUTED_VALUE"""),"English, German")</f>
        <v>English, German</v>
      </c>
      <c r="J706" s="12" t="str">
        <f>IFERROR(__xludf.DUMMYFUNCTION("""COMPUTED_VALUE"""),"English, German")</f>
        <v>English, German</v>
      </c>
      <c r="K706" s="13">
        <f>IFERROR(__xludf.DUMMYFUNCTION("""COMPUTED_VALUE"""),43496.0)</f>
        <v>43496</v>
      </c>
      <c r="L706" s="14" t="str">
        <f>IFERROR(__xludf.DUMMYFUNCTION("""COMPUTED_VALUE"""),"https://masterplan.com/courses/datenschutz")</f>
        <v>https://masterplan.com/courses/datenschutz</v>
      </c>
    </row>
    <row r="707">
      <c r="A707" s="15" t="str">
        <f>IFERROR(__xludf.DUMMYFUNCTION("""COMPUTED_VALUE"""),"Digitales Marketing")</f>
        <v>Digitales Marketing</v>
      </c>
      <c r="B707" s="16" t="str">
        <f>IFERROR(__xludf.DUMMYFUNCTION("""COMPUTED_VALUE"""),"Digital Marketing")</f>
        <v>Digital Marketing</v>
      </c>
      <c r="C707" s="17" t="str">
        <f>IFERROR(__xludf.DUMMYFUNCTION("""COMPUTED_VALUE"""),"Online-Marketing ist bei Weitem nichts Neues mehr. Aber hinter digitalem Marketing steckt so viel mehr, als einfach Werbeanzeigen ins Netz zu stellen. Wie schaffen wir es dabei, unter all den Kampagnen nicht unterzugehen und unsere Kunden auch dauerhaft z"&amp;"u erreichen?")</f>
        <v>Online-Marketing ist bei Weitem nichts Neues mehr. Aber hinter digitalem Marketing steckt so viel mehr, als einfach Werbeanzeigen ins Netz zu stellen. Wie schaffen wir es dabei, unter all den Kampagnen nicht unterzugehen und unsere Kunden auch dauerhaft zu erreichen?</v>
      </c>
      <c r="D707" s="17" t="str">
        <f>IFERROR(__xludf.DUMMYFUNCTION("""COMPUTED_VALUE"""),"Online marketing is nothing new. But there is so much more behind digital marketing than just putting advertisements on the Internet. How do we manage not to get lost among all the campaigns and reach our customers in the long-term?")</f>
        <v>Online marketing is nothing new. But there is so much more behind digital marketing than just putting advertisements on the Internet. How do we manage not to get lost among all the campaigns and reach our customers in the long-term?</v>
      </c>
      <c r="E707" s="9" t="str">
        <f>IFERROR(__xludf.DUMMYFUNCTION("""COMPUTED_VALUE"""),"Global Citizenship")</f>
        <v>Global Citizenship</v>
      </c>
      <c r="F707" s="19" t="str">
        <f>IFERROR(__xludf.DUMMYFUNCTION("""COMPUTED_VALUE"""),"Masterplan com GmbH - Florian Heinemann")</f>
        <v>Masterplan com GmbH - Florian Heinemann</v>
      </c>
      <c r="G707" s="20">
        <f>IFERROR(__xludf.DUMMYFUNCTION("""COMPUTED_VALUE"""),38.0)</f>
        <v>38</v>
      </c>
      <c r="H707" s="20">
        <f>IFERROR(__xludf.DUMMYFUNCTION("""COMPUTED_VALUE"""),21.0)</f>
        <v>21</v>
      </c>
      <c r="I707" s="21" t="str">
        <f>IFERROR(__xludf.DUMMYFUNCTION("""COMPUTED_VALUE"""),"English, German")</f>
        <v>English, German</v>
      </c>
      <c r="J707" s="21" t="str">
        <f>IFERROR(__xludf.DUMMYFUNCTION("""COMPUTED_VALUE"""),"English, German")</f>
        <v>English, German</v>
      </c>
      <c r="K707" s="22">
        <f>IFERROR(__xludf.DUMMYFUNCTION("""COMPUTED_VALUE"""),43496.0)</f>
        <v>43496</v>
      </c>
      <c r="L707" s="23" t="str">
        <f>IFERROR(__xludf.DUMMYFUNCTION("""COMPUTED_VALUE"""),"https://masterplan.com/courses/digitales-marketing")</f>
        <v>https://masterplan.com/courses/digitales-marketing</v>
      </c>
    </row>
    <row r="708">
      <c r="A708" s="6" t="str">
        <f>IFERROR(__xludf.DUMMYFUNCTION("""COMPUTED_VALUE"""),"Lern' vom Hacker: Grundlagen der IT-Sicherheit ")</f>
        <v>Lern' vom Hacker: Grundlagen der IT-Sicherheit </v>
      </c>
      <c r="B708" s="7" t="str">
        <f>IFERROR(__xludf.DUMMYFUNCTION("""COMPUTED_VALUE"""),"IT Security: A Professional Hacker's Perspective")</f>
        <v>IT Security: A Professional Hacker's Perspective</v>
      </c>
      <c r="C708" s="8" t="str">
        <f>IFERROR(__xludf.DUMMYFUNCTION("""COMPUTED_VALUE"""),"Fast täglich werden wir in den Nachrichten mit den Themen Hackerangriff und Datenklau konfrontiert. Aber wie gehen Hacker eigentlich vor? Und was können wir, um es ihnen so schwer wie möglich zu machen und unsere eigenen Systeme zu schützen?")</f>
        <v>Fast täglich werden wir in den Nachrichten mit den Themen Hackerangriff und Datenklau konfrontiert. Aber wie gehen Hacker eigentlich vor? Und was können wir, um es ihnen so schwer wie möglich zu machen und unsere eigenen Systeme zu schützen?</v>
      </c>
      <c r="D708" s="8" t="str">
        <f>IFERROR(__xludf.DUMMYFUNCTION("""COMPUTED_VALUE"""),"We are confronted with the topics of cyber attacks and data theft almost daily. But how do hackers actually act? And what can we do to protect our own systems and make breaking in as difficult as possible?")</f>
        <v>We are confronted with the topics of cyber attacks and data theft almost daily. But how do hackers actually act? And what can we do to protect our own systems and make breaking in as difficult as possible?</v>
      </c>
      <c r="E708" s="25" t="str">
        <f>IFERROR(__xludf.DUMMYFUNCTION("""COMPUTED_VALUE"""),"Digital Literacy")</f>
        <v>Digital Literacy</v>
      </c>
      <c r="F708" s="10" t="str">
        <f>IFERROR(__xludf.DUMMYFUNCTION("""COMPUTED_VALUE"""),"Masterplan com GmbH - Philipp Kalweit")</f>
        <v>Masterplan com GmbH - Philipp Kalweit</v>
      </c>
      <c r="G708" s="11">
        <f>IFERROR(__xludf.DUMMYFUNCTION("""COMPUTED_VALUE"""),16.0)</f>
        <v>16</v>
      </c>
      <c r="H708" s="11">
        <f>IFERROR(__xludf.DUMMYFUNCTION("""COMPUTED_VALUE"""),12.0)</f>
        <v>12</v>
      </c>
      <c r="I708" s="12" t="str">
        <f>IFERROR(__xludf.DUMMYFUNCTION("""COMPUTED_VALUE"""),"English, German")</f>
        <v>English, German</v>
      </c>
      <c r="J708" s="12" t="str">
        <f>IFERROR(__xludf.DUMMYFUNCTION("""COMPUTED_VALUE"""),"German")</f>
        <v>German</v>
      </c>
      <c r="K708" s="13">
        <f>IFERROR(__xludf.DUMMYFUNCTION("""COMPUTED_VALUE"""),43496.0)</f>
        <v>43496</v>
      </c>
      <c r="L708" s="14" t="str">
        <f>IFERROR(__xludf.DUMMYFUNCTION("""COMPUTED_VALUE"""),"https://masterplan.com/courses/it-sicherheit")</f>
        <v>https://masterplan.com/courses/it-sicherheit</v>
      </c>
    </row>
    <row r="709">
      <c r="A709" s="15" t="str">
        <f>IFERROR(__xludf.DUMMYFUNCTION("""COMPUTED_VALUE"""),"How to Talk to Engineers")</f>
        <v>How to Talk to Engineers</v>
      </c>
      <c r="B709" s="16" t="str">
        <f>IFERROR(__xludf.DUMMYFUNCTION("""COMPUTED_VALUE"""),"How to Talk to Engineers")</f>
        <v>How to Talk to Engineers</v>
      </c>
      <c r="C709" s="17" t="str">
        <f>IFERROR(__xludf.DUMMYFUNCTION("""COMPUTED_VALUE"""),"Code ist die Grundlage aller Programme und Apps, die wir tagtäglich benutzen. Aber was ist überhaupt Code und wieso gibt es so viele Programmiersprachen? Wie funktioniert Coding? Und wie sprechen wir so mit Programmierern, dass sie bestmöglich arbeiten kö"&amp;"nnen?")</f>
        <v>Code ist die Grundlage aller Programme und Apps, die wir tagtäglich benutzen. Aber was ist überhaupt Code und wieso gibt es so viele Programmiersprachen? Wie funktioniert Coding? Und wie sprechen wir so mit Programmierern, dass sie bestmöglich arbeiten können?</v>
      </c>
      <c r="D709" s="17" t="str">
        <f>IFERROR(__xludf.DUMMYFUNCTION("""COMPUTED_VALUE"""),"Code is the foundation of all programs and apps that we use daily. But what is coding and why are there so many programming languages? How does coding work? How can we talk to programmers so that they can work their best?")</f>
        <v>Code is the foundation of all programs and apps that we use daily. But what is coding and why are there so many programming languages? How does coding work? How can we talk to programmers so that they can work their best?</v>
      </c>
      <c r="E709" s="25" t="str">
        <f>IFERROR(__xludf.DUMMYFUNCTION("""COMPUTED_VALUE"""),"Digital Literacy")</f>
        <v>Digital Literacy</v>
      </c>
      <c r="F709" s="19" t="str">
        <f>IFERROR(__xludf.DUMMYFUNCTION("""COMPUTED_VALUE"""),"Masterplan com GmbH - Thomas Bachem")</f>
        <v>Masterplan com GmbH - Thomas Bachem</v>
      </c>
      <c r="G709" s="20">
        <f>IFERROR(__xludf.DUMMYFUNCTION("""COMPUTED_VALUE"""),50.0)</f>
        <v>50</v>
      </c>
      <c r="H709" s="20">
        <f>IFERROR(__xludf.DUMMYFUNCTION("""COMPUTED_VALUE"""),21.0)</f>
        <v>21</v>
      </c>
      <c r="I709" s="21" t="str">
        <f>IFERROR(__xludf.DUMMYFUNCTION("""COMPUTED_VALUE"""),"English, German")</f>
        <v>English, German</v>
      </c>
      <c r="J709" s="21" t="str">
        <f>IFERROR(__xludf.DUMMYFUNCTION("""COMPUTED_VALUE"""),"English, German")</f>
        <v>English, German</v>
      </c>
      <c r="K709" s="22">
        <f>IFERROR(__xludf.DUMMYFUNCTION("""COMPUTED_VALUE"""),43496.0)</f>
        <v>43496</v>
      </c>
      <c r="L709" s="23" t="str">
        <f>IFERROR(__xludf.DUMMYFUNCTION("""COMPUTED_VALUE"""),"https://masterplan.com/courses/coding")</f>
        <v>https://masterplan.com/courses/coding</v>
      </c>
    </row>
    <row r="710">
      <c r="A710" s="6" t="str">
        <f>IFERROR(__xludf.DUMMYFUNCTION("""COMPUTED_VALUE"""),"Abschluss des Digital-Grundkurses")</f>
        <v>Abschluss des Digital-Grundkurses</v>
      </c>
      <c r="B710" s="7" t="str">
        <f>IFERROR(__xludf.DUMMYFUNCTION("""COMPUTED_VALUE"""),"End of the Digital Beginners' Course")</f>
        <v>End of the Digital Beginners' Course</v>
      </c>
      <c r="C710" s="8" t="str">
        <f>IFERROR(__xludf.DUMMYFUNCTION("""COMPUTED_VALUE"""),"Herzlichen Glückwunsch! Mit dem Basiswissen aus dem Grundkurs wirst du mit verändertem Blick durch die digitale Welt gehen. Christoph Keese erklärt dir, wie es nun mit den Spezialkursen in den Channels weitergeht und warum lebenslanges Lernen so wichtig i"&amp;"st.")</f>
        <v>Herzlichen Glückwunsch! Mit dem Basiswissen aus dem Grundkurs wirst du mit verändertem Blick durch die digitale Welt gehen. Christoph Keese erklärt dir, wie es nun mit den Spezialkursen in den Channels weitergeht und warum lebenslanges Lernen so wichtig ist.</v>
      </c>
      <c r="D710" s="8" t="str">
        <f>IFERROR(__xludf.DUMMYFUNCTION("""COMPUTED_VALUE"""),"Well done! With your basic knowledge from the beginners' course you will now walk through the digital world with a new perspective. Christoph Keese explains how you can continue with the specialized courses within the channels and why lifelong learning is"&amp;" so important.")</f>
        <v>Well done! With your basic knowledge from the beginners' course you will now walk through the digital world with a new perspective. Christoph Keese explains how you can continue with the specialized courses within the channels and why lifelong learning is so important.</v>
      </c>
      <c r="E710" s="25" t="str">
        <f>IFERROR(__xludf.DUMMYFUNCTION("""COMPUTED_VALUE"""),"Digital Literacy")</f>
        <v>Digital Literacy</v>
      </c>
      <c r="F710" s="10" t="str">
        <f>IFERROR(__xludf.DUMMYFUNCTION("""COMPUTED_VALUE"""),"Masterplan com GmbH - Christoph Keese")</f>
        <v>Masterplan com GmbH - Christoph Keese</v>
      </c>
      <c r="G710" s="11">
        <f>IFERROR(__xludf.DUMMYFUNCTION("""COMPUTED_VALUE"""),3.0)</f>
        <v>3</v>
      </c>
      <c r="H710" s="11">
        <f>IFERROR(__xludf.DUMMYFUNCTION("""COMPUTED_VALUE"""),1.0)</f>
        <v>1</v>
      </c>
      <c r="I710" s="12" t="str">
        <f>IFERROR(__xludf.DUMMYFUNCTION("""COMPUTED_VALUE"""),"English, German")</f>
        <v>English, German</v>
      </c>
      <c r="J710" s="12" t="str">
        <f>IFERROR(__xludf.DUMMYFUNCTION("""COMPUTED_VALUE"""),"English, German")</f>
        <v>English, German</v>
      </c>
      <c r="K710" s="13">
        <f>IFERROR(__xludf.DUMMYFUNCTION("""COMPUTED_VALUE"""),43496.0)</f>
        <v>43496</v>
      </c>
      <c r="L710" s="14" t="str">
        <f>IFERROR(__xludf.DUMMYFUNCTION("""COMPUTED_VALUE"""),"https://masterplan.com/courses/kursende")</f>
        <v>https://masterplan.com/courses/kursende</v>
      </c>
    </row>
    <row r="711">
      <c r="A711" s="15" t="str">
        <f>IFERROR(__xludf.DUMMYFUNCTION("""COMPUTED_VALUE"""),"Kundenorientierung durch Digital Analytics")</f>
        <v>Kundenorientierung durch Digital Analytics</v>
      </c>
      <c r="B711" s="16" t="str">
        <f>IFERROR(__xludf.DUMMYFUNCTION("""COMPUTED_VALUE"""),"Listen to the Customer with Digital Analytics")</f>
        <v>Listen to the Customer with Digital Analytics</v>
      </c>
      <c r="C711" s="17" t="str">
        <f>IFERROR(__xludf.DUMMYFUNCTION("""COMPUTED_VALUE"""),"Wir wissen jetzt, dass wir die Daten unserer Nutzer analysieren müssen. Aber wie funktioniert das überhaupt? Wie können wir genau nachvollziehen, wo sich unsere Nutzer gerne aufhalten, was sie interessiert und wie wir ihnen noch bessere Erlebnisse ermögli"&amp;"chen können?")</f>
        <v>Wir wissen jetzt, dass wir die Daten unserer Nutzer analysieren müssen. Aber wie funktioniert das überhaupt? Wie können wir genau nachvollziehen, wo sich unsere Nutzer gerne aufhalten, was sie interessiert und wie wir ihnen noch bessere Erlebnisse ermöglichen können?</v>
      </c>
      <c r="D711" s="17" t="str">
        <f>IFERROR(__xludf.DUMMYFUNCTION("""COMPUTED_VALUE"""),"We now know that we need to analyze our users' data. But how does it work? How can we understand exactly where our users like, what interests them and how we create even better experiences for them?")</f>
        <v>We now know that we need to analyze our users' data. But how does it work? How can we understand exactly where our users like, what interests them and how we create even better experiences for them?</v>
      </c>
      <c r="E711" s="18" t="str">
        <f>IFERROR(__xludf.DUMMYFUNCTION("""COMPUTED_VALUE"""),"Creativity and Innovation")</f>
        <v>Creativity and Innovation</v>
      </c>
      <c r="F711" s="19" t="str">
        <f>IFERROR(__xludf.DUMMYFUNCTION("""COMPUTED_VALUE"""),"Masterplan com GmbH - Lukas Grebe")</f>
        <v>Masterplan com GmbH - Lukas Grebe</v>
      </c>
      <c r="G711" s="20">
        <f>IFERROR(__xludf.DUMMYFUNCTION("""COMPUTED_VALUE"""),18.0)</f>
        <v>18</v>
      </c>
      <c r="H711" s="20">
        <f>IFERROR(__xludf.DUMMYFUNCTION("""COMPUTED_VALUE"""),15.0)</f>
        <v>15</v>
      </c>
      <c r="I711" s="21" t="str">
        <f>IFERROR(__xludf.DUMMYFUNCTION("""COMPUTED_VALUE"""),"English, German")</f>
        <v>English, German</v>
      </c>
      <c r="J711" s="21" t="str">
        <f>IFERROR(__xludf.DUMMYFUNCTION("""COMPUTED_VALUE"""),"German")</f>
        <v>German</v>
      </c>
      <c r="K711" s="22">
        <f>IFERROR(__xludf.DUMMYFUNCTION("""COMPUTED_VALUE"""),43496.0)</f>
        <v>43496</v>
      </c>
      <c r="L711" s="23" t="str">
        <f>IFERROR(__xludf.DUMMYFUNCTION("""COMPUTED_VALUE"""),"https://masterplan.com/courses/digital-analytics")</f>
        <v>https://masterplan.com/courses/digital-analytics</v>
      </c>
    </row>
    <row r="712">
      <c r="A712" s="6" t="str">
        <f>IFERROR(__xludf.DUMMYFUNCTION("""COMPUTED_VALUE"""),"Kommunikation im digitalen Zeitalter")</f>
        <v>Kommunikation im digitalen Zeitalter</v>
      </c>
      <c r="B712" s="7" t="str">
        <f>IFERROR(__xludf.DUMMYFUNCTION("""COMPUTED_VALUE"""),"Communication in the Digital Age")</f>
        <v>Communication in the Digital Age</v>
      </c>
      <c r="C712" s="8" t="str">
        <f>IFERROR(__xludf.DUMMYFUNCTION("""COMPUTED_VALUE"""),"Die Digitalisierung berührt fast alle Bereiche unseres alltäglichen Lebens - nicht verwunderlich also, dass sich auch die Kommunikation verändert. Aber wie funktioniert eigentlich PR in der digitalen Zeit? Was müssen wir tun, um relevant zu bleiben und ge"&amp;"hört zu werden?")</f>
        <v>Die Digitalisierung berührt fast alle Bereiche unseres alltäglichen Lebens - nicht verwunderlich also, dass sich auch die Kommunikation verändert. Aber wie funktioniert eigentlich PR in der digitalen Zeit? Was müssen wir tun, um relevant zu bleiben und gehört zu werden?</v>
      </c>
      <c r="D712" s="8" t="str">
        <f>IFERROR(__xludf.DUMMYFUNCTION("""COMPUTED_VALUE"""),"digitalization affects almost all areas of our everyday life - so it is not surprising that communication is also changing. But how does PR actually work in the digital age? What do we have to do to stay relevant and be heard?")</f>
        <v>digitalization affects almost all areas of our everyday life - so it is not surprising that communication is also changing. But how does PR actually work in the digital age? What do we have to do to stay relevant and be heard?</v>
      </c>
      <c r="E712" s="9" t="str">
        <f>IFERROR(__xludf.DUMMYFUNCTION("""COMPUTED_VALUE"""),"Global Citizenship")</f>
        <v>Global Citizenship</v>
      </c>
      <c r="F712" s="10" t="str">
        <f>IFERROR(__xludf.DUMMYFUNCTION("""COMPUTED_VALUE"""),"Masterplan com GmbH - Andreas Winiarski")</f>
        <v>Masterplan com GmbH - Andreas Winiarski</v>
      </c>
      <c r="G712" s="11">
        <f>IFERROR(__xludf.DUMMYFUNCTION("""COMPUTED_VALUE"""),25.0)</f>
        <v>25</v>
      </c>
      <c r="H712" s="11">
        <f>IFERROR(__xludf.DUMMYFUNCTION("""COMPUTED_VALUE"""),9.0)</f>
        <v>9</v>
      </c>
      <c r="I712" s="12" t="str">
        <f>IFERROR(__xludf.DUMMYFUNCTION("""COMPUTED_VALUE"""),"English, German")</f>
        <v>English, German</v>
      </c>
      <c r="J712" s="12" t="str">
        <f>IFERROR(__xludf.DUMMYFUNCTION("""COMPUTED_VALUE"""),"German")</f>
        <v>German</v>
      </c>
      <c r="K712" s="13">
        <f>IFERROR(__xludf.DUMMYFUNCTION("""COMPUTED_VALUE"""),43496.0)</f>
        <v>43496</v>
      </c>
      <c r="L712" s="14" t="str">
        <f>IFERROR(__xludf.DUMMYFUNCTION("""COMPUTED_VALUE"""),"https://masterplan.com/courses/kommunikation-digitalisierung")</f>
        <v>https://masterplan.com/courses/kommunikation-digitalisierung</v>
      </c>
    </row>
    <row r="713">
      <c r="A713" s="15" t="str">
        <f>IFERROR(__xludf.DUMMYFUNCTION("""COMPUTED_VALUE"""),"Produktentwicklung mit Leichtigkeit: Das Minimum Viable Product")</f>
        <v>Produktentwicklung mit Leichtigkeit: Das Minimum Viable Product</v>
      </c>
      <c r="B713" s="16" t="str">
        <f>IFERROR(__xludf.DUMMYFUNCTION("""COMPUTED_VALUE"""),"Product Development with Ease: The Minimum Viable Product")</f>
        <v>Product Development with Ease: The Minimum Viable Product</v>
      </c>
      <c r="C713" s="17" t="str">
        <f>IFERROR(__xludf.DUMMYFUNCTION("""COMPUTED_VALUE"""),"Wir müssen heute schnell darin sein, unsere Ideen und Produkte zu testen. Aber wie schaffen wir etwas, das unsere Kunden lieben, ohne viel Zeit und Geld in die Entwicklung zu stecken? Und warum ist ein Donut ohne Glasur ein perfektes Beispiel für so ein T"&amp;"estprodukt?")</f>
        <v>Wir müssen heute schnell darin sein, unsere Ideen und Produkte zu testen. Aber wie schaffen wir etwas, das unsere Kunden lieben, ohne viel Zeit und Geld in die Entwicklung zu stecken? Und warum ist ein Donut ohne Glasur ein perfektes Beispiel für so ein Testprodukt?</v>
      </c>
      <c r="D713" s="17" t="str">
        <f>IFERROR(__xludf.DUMMYFUNCTION("""COMPUTED_VALUE"""),"Today we have to be quick in testing our ideas and products. But how do we create something that our customers love without spending a lot of time and money on development? And why is a donut without a glaze the perfect example of such a test product?")</f>
        <v>Today we have to be quick in testing our ideas and products. But how do we create something that our customers love without spending a lot of time and money on development? And why is a donut without a glaze the perfect example of such a test product?</v>
      </c>
      <c r="E713" s="18" t="str">
        <f>IFERROR(__xludf.DUMMYFUNCTION("""COMPUTED_VALUE"""),"Creativity and Innovation")</f>
        <v>Creativity and Innovation</v>
      </c>
      <c r="F713" s="19" t="str">
        <f>IFERROR(__xludf.DUMMYFUNCTION("""COMPUTED_VALUE"""),"Masterplan com GmbH - Chris Philipps")</f>
        <v>Masterplan com GmbH - Chris Philipps</v>
      </c>
      <c r="G713" s="20">
        <f>IFERROR(__xludf.DUMMYFUNCTION("""COMPUTED_VALUE"""),31.0)</f>
        <v>31</v>
      </c>
      <c r="H713" s="20">
        <f>IFERROR(__xludf.DUMMYFUNCTION("""COMPUTED_VALUE"""),16.0)</f>
        <v>16</v>
      </c>
      <c r="I713" s="21" t="str">
        <f>IFERROR(__xludf.DUMMYFUNCTION("""COMPUTED_VALUE"""),"English, German")</f>
        <v>English, German</v>
      </c>
      <c r="J713" s="21" t="str">
        <f>IFERROR(__xludf.DUMMYFUNCTION("""COMPUTED_VALUE"""),"English, German")</f>
        <v>English, German</v>
      </c>
      <c r="K713" s="22">
        <f>IFERROR(__xludf.DUMMYFUNCTION("""COMPUTED_VALUE"""),43496.0)</f>
        <v>43496</v>
      </c>
      <c r="L713" s="23" t="str">
        <f>IFERROR(__xludf.DUMMYFUNCTION("""COMPUTED_VALUE"""),"https://masterplan.com/courses/mvp")</f>
        <v>https://masterplan.com/courses/mvp</v>
      </c>
    </row>
    <row r="714">
      <c r="A714" s="6" t="str">
        <f>IFERROR(__xludf.DUMMYFUNCTION("""COMPUTED_VALUE"""),"Soziale Plattformen")</f>
        <v>Soziale Plattformen</v>
      </c>
      <c r="B714" s="7" t="str">
        <f>IFERROR(__xludf.DUMMYFUNCTION("""COMPUTED_VALUE"""),"Social Platforms")</f>
        <v>Social Platforms</v>
      </c>
      <c r="C714" s="8" t="str">
        <f>IFERROR(__xludf.DUMMYFUNCTION("""COMPUTED_VALUE"""),"Facebook und Co sind schon lange nicht mehr allein den Digital Natives vorbehalten - sie nehmen bereits in jedem Unternehmen einen hohen Stellenwert ein. Aber wie können wir Social Media gezielt für unsere Marketing-Zwecke einsetzen? Und wie messen wir da"&amp;"bei unsere Erfolge?")</f>
        <v>Facebook und Co sind schon lange nicht mehr allein den Digital Natives vorbehalten - sie nehmen bereits in jedem Unternehmen einen hohen Stellenwert ein. Aber wie können wir Social Media gezielt für unsere Marketing-Zwecke einsetzen? Und wie messen wir dabei unsere Erfolge?</v>
      </c>
      <c r="D714" s="8" t="str">
        <f>IFERROR(__xludf.DUMMYFUNCTION("""COMPUTED_VALUE"""),"Facebook and Co. are no longer reserved for the digital natives alone, they have become a high priority for every company. But how can we use social media purposefully? And how do we measure our success?")</f>
        <v>Facebook and Co. are no longer reserved for the digital natives alone, they have become a high priority for every company. But how can we use social media purposefully? And how do we measure our success?</v>
      </c>
      <c r="E714" s="9" t="str">
        <f>IFERROR(__xludf.DUMMYFUNCTION("""COMPUTED_VALUE"""),"Global Citizenship")</f>
        <v>Global Citizenship</v>
      </c>
      <c r="F714" s="10" t="str">
        <f>IFERROR(__xludf.DUMMYFUNCTION("""COMPUTED_VALUE"""),"Masterplan com GmbH - Felix Beilharz ")</f>
        <v>Masterplan com GmbH - Felix Beilharz </v>
      </c>
      <c r="G714" s="11">
        <f>IFERROR(__xludf.DUMMYFUNCTION("""COMPUTED_VALUE"""),24.0)</f>
        <v>24</v>
      </c>
      <c r="H714" s="11">
        <f>IFERROR(__xludf.DUMMYFUNCTION("""COMPUTED_VALUE"""),21.0)</f>
        <v>21</v>
      </c>
      <c r="I714" s="12" t="str">
        <f>IFERROR(__xludf.DUMMYFUNCTION("""COMPUTED_VALUE"""),"English, German")</f>
        <v>English, German</v>
      </c>
      <c r="J714" s="12" t="str">
        <f>IFERROR(__xludf.DUMMYFUNCTION("""COMPUTED_VALUE"""),"German")</f>
        <v>German</v>
      </c>
      <c r="K714" s="13">
        <f>IFERROR(__xludf.DUMMYFUNCTION("""COMPUTED_VALUE"""),43496.0)</f>
        <v>43496</v>
      </c>
      <c r="L714" s="14" t="str">
        <f>IFERROR(__xludf.DUMMYFUNCTION("""COMPUTED_VALUE"""),"https://masterplan.com/courses/soziale-plattformen")</f>
        <v>https://masterplan.com/courses/soziale-plattformen</v>
      </c>
    </row>
    <row r="715">
      <c r="A715" s="15" t="str">
        <f>IFERROR(__xludf.DUMMYFUNCTION("""COMPUTED_VALUE"""),"SEO - Search Engine Optimization")</f>
        <v>SEO - Search Engine Optimization</v>
      </c>
      <c r="B715" s="16" t="str">
        <f>IFERROR(__xludf.DUMMYFUNCTION("""COMPUTED_VALUE"""),"SEO - Search Engine Optimization")</f>
        <v>SEO - Search Engine Optimization</v>
      </c>
      <c r="C715" s="17" t="str">
        <f>IFERROR(__xludf.DUMMYFUNCTION("""COMPUTED_VALUE"""),"Wer heute auf Suchmaschinen nicht gefunden wird, hat es schwer, auf sich aufmerksam zu machen. Aber wie können wir unsere Webseiten so gestalten, dass sie dort von möglichst vielen Nutzern entdeckt werden? Und geht das auch mit einem kleinen Budget?")</f>
        <v>Wer heute auf Suchmaschinen nicht gefunden wird, hat es schwer, auf sich aufmerksam zu machen. Aber wie können wir unsere Webseiten so gestalten, dass sie dort von möglichst vielen Nutzern entdeckt werden? Und geht das auch mit einem kleinen Budget?</v>
      </c>
      <c r="D715" s="17" t="str">
        <f>IFERROR(__xludf.DUMMYFUNCTION("""COMPUTED_VALUE"""),"If you can't be found on search engines, you will have a difficult time getting attention. But how can we design our websites so that we can be discovered by as many users as possible? And how can we do that with a limited budget?")</f>
        <v>If you can't be found on search engines, you will have a difficult time getting attention. But how can we design our websites so that we can be discovered by as many users as possible? And how can we do that with a limited budget?</v>
      </c>
      <c r="E715" s="9" t="str">
        <f>IFERROR(__xludf.DUMMYFUNCTION("""COMPUTED_VALUE"""),"Global Citizenship")</f>
        <v>Global Citizenship</v>
      </c>
      <c r="F715" s="19" t="str">
        <f>IFERROR(__xludf.DUMMYFUNCTION("""COMPUTED_VALUE"""),"Masterplan com GmbH - Dominik Schwarz")</f>
        <v>Masterplan com GmbH - Dominik Schwarz</v>
      </c>
      <c r="G715" s="20">
        <f>IFERROR(__xludf.DUMMYFUNCTION("""COMPUTED_VALUE"""),28.0)</f>
        <v>28</v>
      </c>
      <c r="H715" s="20">
        <f>IFERROR(__xludf.DUMMYFUNCTION("""COMPUTED_VALUE"""),24.0)</f>
        <v>24</v>
      </c>
      <c r="I715" s="21" t="str">
        <f>IFERROR(__xludf.DUMMYFUNCTION("""COMPUTED_VALUE"""),"English, German")</f>
        <v>English, German</v>
      </c>
      <c r="J715" s="21" t="str">
        <f>IFERROR(__xludf.DUMMYFUNCTION("""COMPUTED_VALUE"""),"English, German")</f>
        <v>English, German</v>
      </c>
      <c r="K715" s="22">
        <f>IFERROR(__xludf.DUMMYFUNCTION("""COMPUTED_VALUE"""),43496.0)</f>
        <v>43496</v>
      </c>
      <c r="L715" s="23" t="str">
        <f>IFERROR(__xludf.DUMMYFUNCTION("""COMPUTED_VALUE"""),"https://masterplan.com/courses/seo")</f>
        <v>https://masterplan.com/courses/seo</v>
      </c>
    </row>
    <row r="716">
      <c r="A716" s="6" t="str">
        <f>IFERROR(__xludf.DUMMYFUNCTION("""COMPUTED_VALUE"""),"Mit smarter Datennutzung zu besserem Managament II")</f>
        <v>Mit smarter Datennutzung zu besserem Managament II</v>
      </c>
      <c r="B716" s="7" t="str">
        <f>IFERROR(__xludf.DUMMYFUNCTION("""COMPUTED_VALUE"""),"Smart Data Use for Better Management II")</f>
        <v>Smart Data Use for Better Management II</v>
      </c>
      <c r="C716" s="8" t="str">
        <f>IFERROR(__xludf.DUMMYFUNCTION("""COMPUTED_VALUE"""),"Mit den Themen Daten und Big Data haben wir uns bereits auseinandergesetzt. Jetzt wird es Zeit, tiefer einzusteigen: Wie können wir eine durchdachte Datenstrategie entwickeln, die alle wichtigen Bereiche wie Erfassung, Analyse und Speicherung beinhaltet?")</f>
        <v>Mit den Themen Daten und Big Data haben wir uns bereits auseinandergesetzt. Jetzt wird es Zeit, tiefer einzusteigen: Wie können wir eine durchdachte Datenstrategie entwickeln, die alle wichtigen Bereiche wie Erfassung, Analyse und Speicherung beinhaltet?</v>
      </c>
      <c r="D716" s="8" t="str">
        <f>IFERROR(__xludf.DUMMYFUNCTION("""COMPUTED_VALUE"""),"We have already dealt with the subject of data. Now it is time to go deeper: how can we develop a well thought-out data strategy that includes all the important areas such as collection, analysis and storage?")</f>
        <v>We have already dealt with the subject of data. Now it is time to go deeper: how can we develop a well thought-out data strategy that includes all the important areas such as collection, analysis and storage?</v>
      </c>
      <c r="E716" s="25" t="str">
        <f>IFERROR(__xludf.DUMMYFUNCTION("""COMPUTED_VALUE"""),"Digital Literacy")</f>
        <v>Digital Literacy</v>
      </c>
      <c r="F716" s="10" t="str">
        <f>IFERROR(__xludf.DUMMYFUNCTION("""COMPUTED_VALUE"""),"Masterplan com GmbH - Mark Bosold")</f>
        <v>Masterplan com GmbH - Mark Bosold</v>
      </c>
      <c r="G716" s="11">
        <f>IFERROR(__xludf.DUMMYFUNCTION("""COMPUTED_VALUE"""),20.0)</f>
        <v>20</v>
      </c>
      <c r="H716" s="11">
        <f>IFERROR(__xludf.DUMMYFUNCTION("""COMPUTED_VALUE"""),15.0)</f>
        <v>15</v>
      </c>
      <c r="I716" s="12" t="str">
        <f>IFERROR(__xludf.DUMMYFUNCTION("""COMPUTED_VALUE"""),"English, German")</f>
        <v>English, German</v>
      </c>
      <c r="J716" s="12" t="str">
        <f>IFERROR(__xludf.DUMMYFUNCTION("""COMPUTED_VALUE"""),"German")</f>
        <v>German</v>
      </c>
      <c r="K716" s="13">
        <f>IFERROR(__xludf.DUMMYFUNCTION("""COMPUTED_VALUE"""),43496.0)</f>
        <v>43496</v>
      </c>
      <c r="L716" s="14" t="str">
        <f>IFERROR(__xludf.DUMMYFUNCTION("""COMPUTED_VALUE"""),"https://masterplan.com/courses/daten-2")</f>
        <v>https://masterplan.com/courses/daten-2</v>
      </c>
    </row>
    <row r="717">
      <c r="A717" s="15" t="str">
        <f>IFERROR(__xludf.DUMMYFUNCTION("""COMPUTED_VALUE"""),"CRM - Customer Relationship Management")</f>
        <v>CRM - Customer Relationship Management</v>
      </c>
      <c r="B717" s="16" t="str">
        <f>IFERROR(__xludf.DUMMYFUNCTION("""COMPUTED_VALUE"""),"CRM - Customer Relationship Management")</f>
        <v>CRM - Customer Relationship Management</v>
      </c>
      <c r="C717" s="17" t="str">
        <f>IFERROR(__xludf.DUMMYFUNCTION("""COMPUTED_VALUE"""),"Wir haben heute etliche Möglichkeiten, über die wir die Nutzer im Internet erreichen können. Aber wie schaffen wir es dabei, unsere Kunden einheitlich anzusprechen und ihnen gute Erlebnisse zu bieten? Und wieso sollten wir eine Liebesbeziehung zu ihnen au"&amp;"fbauen?")</f>
        <v>Wir haben heute etliche Möglichkeiten, über die wir die Nutzer im Internet erreichen können. Aber wie schaffen wir es dabei, unsere Kunden einheitlich anzusprechen und ihnen gute Erlebnisse zu bieten? Und wieso sollten wir eine Liebesbeziehung zu ihnen aufbauen?</v>
      </c>
      <c r="D717" s="17" t="str">
        <f>IFERROR(__xludf.DUMMYFUNCTION("""COMPUTED_VALUE"""),"Today we have a number of ways with which we can reach the user through the Internet. But how do we manage to consistently approach our customers and give them positive experiences? Why should we try and establish a loving relationship with them?")</f>
        <v>Today we have a number of ways with which we can reach the user through the Internet. But how do we manage to consistently approach our customers and give them positive experiences? Why should we try and establish a loving relationship with them?</v>
      </c>
      <c r="E717" s="9" t="str">
        <f>IFERROR(__xludf.DUMMYFUNCTION("""COMPUTED_VALUE"""),"Global Citizenship")</f>
        <v>Global Citizenship</v>
      </c>
      <c r="F717" s="19" t="str">
        <f>IFERROR(__xludf.DUMMYFUNCTION("""COMPUTED_VALUE"""),"Masterplan com GmbH - Markus Wübben")</f>
        <v>Masterplan com GmbH - Markus Wübben</v>
      </c>
      <c r="G717" s="20">
        <f>IFERROR(__xludf.DUMMYFUNCTION("""COMPUTED_VALUE"""),38.0)</f>
        <v>38</v>
      </c>
      <c r="H717" s="20">
        <f>IFERROR(__xludf.DUMMYFUNCTION("""COMPUTED_VALUE"""),14.0)</f>
        <v>14</v>
      </c>
      <c r="I717" s="21" t="str">
        <f>IFERROR(__xludf.DUMMYFUNCTION("""COMPUTED_VALUE"""),"English, German")</f>
        <v>English, German</v>
      </c>
      <c r="J717" s="21" t="str">
        <f>IFERROR(__xludf.DUMMYFUNCTION("""COMPUTED_VALUE"""),"English, German")</f>
        <v>English, German</v>
      </c>
      <c r="K717" s="22">
        <f>IFERROR(__xludf.DUMMYFUNCTION("""COMPUTED_VALUE"""),43496.0)</f>
        <v>43496</v>
      </c>
      <c r="L717" s="23" t="str">
        <f>IFERROR(__xludf.DUMMYFUNCTION("""COMPUTED_VALUE"""),"https://masterplan.com/courses/crm")</f>
        <v>https://masterplan.com/courses/crm</v>
      </c>
    </row>
    <row r="718">
      <c r="A718" s="6" t="str">
        <f>IFERROR(__xludf.DUMMYFUNCTION("""COMPUTED_VALUE"""),"Funnel Analyse")</f>
        <v>Funnel Analyse</v>
      </c>
      <c r="B718" s="7" t="str">
        <f>IFERROR(__xludf.DUMMYFUNCTION("""COMPUTED_VALUE"""),"Funnel Analysis")</f>
        <v>Funnel Analysis</v>
      </c>
      <c r="C718" s="8" t="str">
        <f>IFERROR(__xludf.DUMMYFUNCTION("""COMPUTED_VALUE"""),"Es gibt heutzutage etliche Methoden, mit denen Klickzahlen und Co. analysiert werden können, und der Funnel ist nur eine davon. Aber warum ist ausgerechnet er so hilfreich? Und wie kann er uns dabei helfen, Schwachstellen in unserer Marketing-Strategie au"&amp;"fzuzeigen?")</f>
        <v>Es gibt heutzutage etliche Methoden, mit denen Klickzahlen und Co. analysiert werden können, und der Funnel ist nur eine davon. Aber warum ist ausgerechnet er so hilfreich? Und wie kann er uns dabei helfen, Schwachstellen in unserer Marketing-Strategie aufzuzeigen?</v>
      </c>
      <c r="D718" s="8" t="str">
        <f>IFERROR(__xludf.DUMMYFUNCTION("""COMPUTED_VALUE"""),"Today there are a number of methods with which we can analyze the number of clicks, and the funnel is only one of them. But why is it so especially helpful? How can it help reveal weak spots in our strategy?")</f>
        <v>Today there are a number of methods with which we can analyze the number of clicks, and the funnel is only one of them. But why is it so especially helpful? How can it help reveal weak spots in our strategy?</v>
      </c>
      <c r="E718" s="9" t="str">
        <f>IFERROR(__xludf.DUMMYFUNCTION("""COMPUTED_VALUE"""),"Global Citizenship")</f>
        <v>Global Citizenship</v>
      </c>
      <c r="F718" s="10" t="str">
        <f>IFERROR(__xludf.DUMMYFUNCTION("""COMPUTED_VALUE"""),"Masterplan com GmbH - Andreas Bruckschlögl ")</f>
        <v>Masterplan com GmbH - Andreas Bruckschlögl </v>
      </c>
      <c r="G718" s="11">
        <f>IFERROR(__xludf.DUMMYFUNCTION("""COMPUTED_VALUE"""),18.0)</f>
        <v>18</v>
      </c>
      <c r="H718" s="11">
        <f>IFERROR(__xludf.DUMMYFUNCTION("""COMPUTED_VALUE"""),15.0)</f>
        <v>15</v>
      </c>
      <c r="I718" s="12" t="str">
        <f>IFERROR(__xludf.DUMMYFUNCTION("""COMPUTED_VALUE"""),"English, German")</f>
        <v>English, German</v>
      </c>
      <c r="J718" s="12" t="str">
        <f>IFERROR(__xludf.DUMMYFUNCTION("""COMPUTED_VALUE"""),"English, German")</f>
        <v>English, German</v>
      </c>
      <c r="K718" s="13">
        <f>IFERROR(__xludf.DUMMYFUNCTION("""COMPUTED_VALUE"""),43496.0)</f>
        <v>43496</v>
      </c>
      <c r="L718" s="14" t="str">
        <f>IFERROR(__xludf.DUMMYFUNCTION("""COMPUTED_VALUE"""),"https://masterplan.com/courses/funnel")</f>
        <v>https://masterplan.com/courses/funnel</v>
      </c>
    </row>
    <row r="719">
      <c r="A719" s="15" t="str">
        <f>IFERROR(__xludf.DUMMYFUNCTION("""COMPUTED_VALUE"""),"Growth Mindset und Fehlerkultur")</f>
        <v>Growth Mindset und Fehlerkultur</v>
      </c>
      <c r="B719" s="16" t="str">
        <f>IFERROR(__xludf.DUMMYFUNCTION("""COMPUTED_VALUE"""),"Growth Mindset and Failure Culture")</f>
        <v>Growth Mindset and Failure Culture</v>
      </c>
      <c r="C719" s="17" t="str">
        <f>IFERROR(__xludf.DUMMYFUNCTION("""COMPUTED_VALUE"""),"“Wir müssen ein offenes Mindset haben”, das hört man ja derzeit überall. Aber was soll das überhaupt bedeuten? Was, wenn ich keines habe? Ein Growth-Mindset, kombiniert mit einer Fehlerkultur, kann den Unternehmenserfolg steigern. Aber was macht eine Fehl"&amp;"erkultur aus?")</f>
        <v>“Wir müssen ein offenes Mindset haben”, das hört man ja derzeit überall. Aber was soll das überhaupt bedeuten? Was, wenn ich keines habe? Ein Growth-Mindset, kombiniert mit einer Fehlerkultur, kann den Unternehmenserfolg steigern. Aber was macht eine Fehlerkultur aus?</v>
      </c>
      <c r="D719" s="17" t="str">
        <f>IFERROR(__xludf.DUMMYFUNCTION("""COMPUTED_VALUE"""),"“We must have an open mindset” is what we hear everywhere at the moment. But what does it even mean? What happens when I don’t have one? A growth mindset combined with failure culture can increase company success. But what constitutes failure culture?")</f>
        <v>“We must have an open mindset” is what we hear everywhere at the moment. But what does it even mean? What happens when I don’t have one? A growth mindset combined with failure culture can increase company success. But what constitutes failure culture?</v>
      </c>
      <c r="E719" s="26" t="str">
        <f>IFERROR(__xludf.DUMMYFUNCTION("""COMPUTED_VALUE"""),"Collaboration and Leadership")</f>
        <v>Collaboration and Leadership</v>
      </c>
      <c r="F719" s="19" t="str">
        <f>IFERROR(__xludf.DUMMYFUNCTION("""COMPUTED_VALUE"""),"Masterplan com GmbH - Andreas Bruckschlögl")</f>
        <v>Masterplan com GmbH - Andreas Bruckschlögl</v>
      </c>
      <c r="G719" s="20">
        <f>IFERROR(__xludf.DUMMYFUNCTION("""COMPUTED_VALUE"""),38.0)</f>
        <v>38</v>
      </c>
      <c r="H719" s="20">
        <f>IFERROR(__xludf.DUMMYFUNCTION("""COMPUTED_VALUE"""),17.0)</f>
        <v>17</v>
      </c>
      <c r="I719" s="21" t="str">
        <f>IFERROR(__xludf.DUMMYFUNCTION("""COMPUTED_VALUE"""),"English, German")</f>
        <v>English, German</v>
      </c>
      <c r="J719" s="21" t="str">
        <f>IFERROR(__xludf.DUMMYFUNCTION("""COMPUTED_VALUE"""),"English, German")</f>
        <v>English, German</v>
      </c>
      <c r="K719" s="22">
        <f>IFERROR(__xludf.DUMMYFUNCTION("""COMPUTED_VALUE"""),43496.0)</f>
        <v>43496</v>
      </c>
      <c r="L719" s="23" t="str">
        <f>IFERROR(__xludf.DUMMYFUNCTION("""COMPUTED_VALUE"""),"https://masterplan.com/courses/growth-mindset")</f>
        <v>https://masterplan.com/courses/growth-mindset</v>
      </c>
    </row>
    <row r="720">
      <c r="A720" s="6" t="str">
        <f>IFERROR(__xludf.DUMMYFUNCTION("""COMPUTED_VALUE"""),"User Experience Design: Eine Einführung")</f>
        <v>User Experience Design: Eine Einführung</v>
      </c>
      <c r="B720" s="7" t="str">
        <f>IFERROR(__xludf.DUMMYFUNCTION("""COMPUTED_VALUE"""),"User Experience Design: An Introduction")</f>
        <v>User Experience Design: An Introduction</v>
      </c>
      <c r="C720" s="8" t="str">
        <f>IFERROR(__xludf.DUMMYFUNCTION("""COMPUTED_VALUE"""),"Wann hast du zuletzt über deine Haustür nachgedacht? In diesem Kurs erfährst du, was deine Tür mit guter und schlechter User Experience zu tun hat, und wie sich diese Prinzipien auf Produkte und Dienstleistungen übertragen lassen.")</f>
        <v>Wann hast du zuletzt über deine Haustür nachgedacht? In diesem Kurs erfährst du, was deine Tür mit guter und schlechter User Experience zu tun hat, und wie sich diese Prinzipien auf Produkte und Dienstleistungen übertragen lassen.</v>
      </c>
      <c r="D720" s="8" t="str">
        <f>IFERROR(__xludf.DUMMYFUNCTION("""COMPUTED_VALUE"""),"When did you last think about your front door? In this course you will learn about what your door has to do with good or bad user experience, and how these principles can be conveyed through products and services.")</f>
        <v>When did you last think about your front door? In this course you will learn about what your door has to do with good or bad user experience, and how these principles can be conveyed through products and services.</v>
      </c>
      <c r="E720" s="18" t="str">
        <f>IFERROR(__xludf.DUMMYFUNCTION("""COMPUTED_VALUE"""),"Creativity and Innovation")</f>
        <v>Creativity and Innovation</v>
      </c>
      <c r="F720" s="10" t="str">
        <f>IFERROR(__xludf.DUMMYFUNCTION("""COMPUTED_VALUE"""),"Masterplan com GmbH - Lili Köhler")</f>
        <v>Masterplan com GmbH - Lili Köhler</v>
      </c>
      <c r="G720" s="11">
        <f>IFERROR(__xludf.DUMMYFUNCTION("""COMPUTED_VALUE"""),22.0)</f>
        <v>22</v>
      </c>
      <c r="H720" s="11">
        <f>IFERROR(__xludf.DUMMYFUNCTION("""COMPUTED_VALUE"""),18.0)</f>
        <v>18</v>
      </c>
      <c r="I720" s="12" t="str">
        <f>IFERROR(__xludf.DUMMYFUNCTION("""COMPUTED_VALUE"""),"English, German")</f>
        <v>English, German</v>
      </c>
      <c r="J720" s="12" t="str">
        <f>IFERROR(__xludf.DUMMYFUNCTION("""COMPUTED_VALUE"""),"English, German")</f>
        <v>English, German</v>
      </c>
      <c r="K720" s="13">
        <f>IFERROR(__xludf.DUMMYFUNCTION("""COMPUTED_VALUE"""),43496.0)</f>
        <v>43496</v>
      </c>
      <c r="L720" s="14" t="str">
        <f>IFERROR(__xludf.DUMMYFUNCTION("""COMPUTED_VALUE"""),"https://masterplan.com/courses/ux")</f>
        <v>https://masterplan.com/courses/ux</v>
      </c>
    </row>
    <row r="721">
      <c r="A721" s="15" t="str">
        <f>IFERROR(__xludf.DUMMYFUNCTION("""COMPUTED_VALUE"""),"Überleitung - Mindset zu Organisation")</f>
        <v>Überleitung - Mindset zu Organisation</v>
      </c>
      <c r="B721" s="16" t="str">
        <f>IFERROR(__xludf.DUMMYFUNCTION("""COMPUTED_VALUE"""),"Transition: from Mindset to Organization")</f>
        <v>Transition: from Mindset to Organization</v>
      </c>
      <c r="C721" s="17" t="str">
        <f>IFERROR(__xludf.DUMMYFUNCTION("""COMPUTED_VALUE"""),"Plattformmodelle, neue Technologien, Daten: Wie integriere ich die Trends in meinem Unternehmen? Wie schaffe ich eine effiziente und zukunftsfähige Unternehmensorganisation? Und wie gestalte ich schon heute die digitale Arbeitskultur von morgen?")</f>
        <v>Plattformmodelle, neue Technologien, Daten: Wie integriere ich die Trends in meinem Unternehmen? Wie schaffe ich eine effiziente und zukunftsfähige Unternehmensorganisation? Und wie gestalte ich schon heute die digitale Arbeitskultur von morgen?</v>
      </c>
      <c r="D721" s="17" t="str">
        <f>IFERROR(__xludf.DUMMYFUNCTION("""COMPUTED_VALUE"""),"Platform models, new technology, data: how do I integrate these trends in my organization? How do I create an efficient and sustainable corporate governance? And how do I design tomorrow's digital work culture today?")</f>
        <v>Platform models, new technology, data: how do I integrate these trends in my organization? How do I create an efficient and sustainable corporate governance? And how do I design tomorrow's digital work culture today?</v>
      </c>
      <c r="E721" s="25" t="str">
        <f>IFERROR(__xludf.DUMMYFUNCTION("""COMPUTED_VALUE"""),"Digital Literacy")</f>
        <v>Digital Literacy</v>
      </c>
      <c r="F721" s="19" t="str">
        <f>IFERROR(__xludf.DUMMYFUNCTION("""COMPUTED_VALUE"""),"Masterplan com GmbH - Christoph Keese")</f>
        <v>Masterplan com GmbH - Christoph Keese</v>
      </c>
      <c r="G721" s="20">
        <f>IFERROR(__xludf.DUMMYFUNCTION("""COMPUTED_VALUE"""),1.0)</f>
        <v>1</v>
      </c>
      <c r="H721" s="20">
        <f>IFERROR(__xludf.DUMMYFUNCTION("""COMPUTED_VALUE"""),1.0)</f>
        <v>1</v>
      </c>
      <c r="I721" s="21" t="str">
        <f>IFERROR(__xludf.DUMMYFUNCTION("""COMPUTED_VALUE"""),"English, German")</f>
        <v>English, German</v>
      </c>
      <c r="J721" s="21" t="str">
        <f>IFERROR(__xludf.DUMMYFUNCTION("""COMPUTED_VALUE"""),"English, German")</f>
        <v>English, German</v>
      </c>
      <c r="K721" s="22">
        <f>IFERROR(__xludf.DUMMYFUNCTION("""COMPUTED_VALUE"""),43496.0)</f>
        <v>43496</v>
      </c>
      <c r="L721" s="23" t="str">
        <f>IFERROR(__xludf.DUMMYFUNCTION("""COMPUTED_VALUE"""),"https://masterplan.com/courses/ueberleitung-mindset-organisation")</f>
        <v>https://masterplan.com/courses/ueberleitung-mindset-organisation</v>
      </c>
    </row>
    <row r="722">
      <c r="A722" s="6" t="str">
        <f>IFERROR(__xludf.DUMMYFUNCTION("""COMPUTED_VALUE"""),"Lean Product Management: Eine Einführung")</f>
        <v>Lean Product Management: Eine Einführung</v>
      </c>
      <c r="B722" s="7" t="str">
        <f>IFERROR(__xludf.DUMMYFUNCTION("""COMPUTED_VALUE"""),"Lean Product Management: An Introduction")</f>
        <v>Lean Product Management: An Introduction</v>
      </c>
      <c r="C722" s="8" t="str">
        <f>IFERROR(__xludf.DUMMYFUNCTION("""COMPUTED_VALUE"""),"Durch die steigende Veränderungsgeschwindigkeit müssen wir unsere Produkte viel schneller auf den Markt bringen. Wie schaffen wir es Ideen in kurzen Phasen zu entwickeln, umzusetzen, zu verbessern und zu testen - und das dann am besten noch parallel?")</f>
        <v>Durch die steigende Veränderungsgeschwindigkeit müssen wir unsere Produkte viel schneller auf den Markt bringen. Wie schaffen wir es Ideen in kurzen Phasen zu entwickeln, umzusetzen, zu verbessern und zu testen - und das dann am besten noch parallel?</v>
      </c>
      <c r="D722" s="8" t="str">
        <f>IFERROR(__xludf.DUMMYFUNCTION("""COMPUTED_VALUE"""),"Due to the increasing speed of change, we have to bring our products to market much faster. How do we manage to develop, implement, improve, and test ideas in short phases - and simultaneously, preferably?")</f>
        <v>Due to the increasing speed of change, we have to bring our products to market much faster. How do we manage to develop, implement, improve, and test ideas in short phases - and simultaneously, preferably?</v>
      </c>
      <c r="E722" s="18" t="str">
        <f>IFERROR(__xludf.DUMMYFUNCTION("""COMPUTED_VALUE"""),"Creativity and Innovation")</f>
        <v>Creativity and Innovation</v>
      </c>
      <c r="F722" s="10" t="str">
        <f>IFERROR(__xludf.DUMMYFUNCTION("""COMPUTED_VALUE"""),"Masterplan com GmbH - Just Beyer")</f>
        <v>Masterplan com GmbH - Just Beyer</v>
      </c>
      <c r="G722" s="11">
        <f>IFERROR(__xludf.DUMMYFUNCTION("""COMPUTED_VALUE"""),35.0)</f>
        <v>35</v>
      </c>
      <c r="H722" s="11">
        <f>IFERROR(__xludf.DUMMYFUNCTION("""COMPUTED_VALUE"""),18.0)</f>
        <v>18</v>
      </c>
      <c r="I722" s="12" t="str">
        <f>IFERROR(__xludf.DUMMYFUNCTION("""COMPUTED_VALUE"""),"English, German")</f>
        <v>English, German</v>
      </c>
      <c r="J722" s="12" t="str">
        <f>IFERROR(__xludf.DUMMYFUNCTION("""COMPUTED_VALUE"""),"German")</f>
        <v>German</v>
      </c>
      <c r="K722" s="13">
        <f>IFERROR(__xludf.DUMMYFUNCTION("""COMPUTED_VALUE"""),43496.0)</f>
        <v>43496</v>
      </c>
      <c r="L722" s="14" t="str">
        <f>IFERROR(__xludf.DUMMYFUNCTION("""COMPUTED_VALUE"""),"https://masterplan.com/courses/lean-product-management")</f>
        <v>https://masterplan.com/courses/lean-product-management</v>
      </c>
    </row>
    <row r="723">
      <c r="A723" s="15" t="str">
        <f>IFERROR(__xludf.DUMMYFUNCTION("""COMPUTED_VALUE"""),"Recht im Online Marketing")</f>
        <v>Recht im Online Marketing</v>
      </c>
      <c r="B723" s="16" t="str">
        <f>IFERROR(__xludf.DUMMYFUNCTION("""COMPUTED_VALUE"""),"Legal Aspects of Online Marketing")</f>
        <v>Legal Aspects of Online Marketing</v>
      </c>
      <c r="C723" s="17" t="str">
        <f>IFERROR(__xludf.DUMMYFUNCTION("""COMPUTED_VALUE"""),"Allein für unser Marketing, den Kontakt zu den Kunden und die Erhebung und Analyse ihrer Daten sind wir täglich im Netz unterwegs. Aber in welchem rechtlichen Rahmen bewegen wir uns dabei eigentlich? Und warum ist Christians Nichte ein gutes Fallbeispiel "&amp;"dafür?")</f>
        <v>Allein für unser Marketing, den Kontakt zu den Kunden und die Erhebung und Analyse ihrer Daten sind wir täglich im Netz unterwegs. Aber in welchem rechtlichen Rahmen bewegen wir uns dabei eigentlich? Und warum ist Christians Nichte ein gutes Fallbeispiel dafür?</v>
      </c>
      <c r="D723" s="17" t="str">
        <f>IFERROR(__xludf.DUMMYFUNCTION("""COMPUTED_VALUE"""),"For our marketing, customer contact and the collection and analysis of their data, we are online every day. But in what legal framework do we actually operate? And why is Christian's niece a good example of this?")</f>
        <v>For our marketing, customer contact and the collection and analysis of their data, we are online every day. But in what legal framework do we actually operate? And why is Christian's niece a good example of this?</v>
      </c>
      <c r="E723" s="9" t="str">
        <f>IFERROR(__xludf.DUMMYFUNCTION("""COMPUTED_VALUE"""),"Global Citizenship")</f>
        <v>Global Citizenship</v>
      </c>
      <c r="F723" s="19" t="str">
        <f>IFERROR(__xludf.DUMMYFUNCTION("""COMPUTED_VALUE"""),"Masterplan com GmbH - Christian Solmecke")</f>
        <v>Masterplan com GmbH - Christian Solmecke</v>
      </c>
      <c r="G723" s="20">
        <f>IFERROR(__xludf.DUMMYFUNCTION("""COMPUTED_VALUE"""),35.0)</f>
        <v>35</v>
      </c>
      <c r="H723" s="20">
        <f>IFERROR(__xludf.DUMMYFUNCTION("""COMPUTED_VALUE"""),21.0)</f>
        <v>21</v>
      </c>
      <c r="I723" s="21" t="str">
        <f>IFERROR(__xludf.DUMMYFUNCTION("""COMPUTED_VALUE"""),"English, German")</f>
        <v>English, German</v>
      </c>
      <c r="J723" s="21" t="str">
        <f>IFERROR(__xludf.DUMMYFUNCTION("""COMPUTED_VALUE"""),"English, German")</f>
        <v>English, German</v>
      </c>
      <c r="K723" s="22">
        <f>IFERROR(__xludf.DUMMYFUNCTION("""COMPUTED_VALUE"""),43496.0)</f>
        <v>43496</v>
      </c>
      <c r="L723" s="23" t="str">
        <f>IFERROR(__xludf.DUMMYFUNCTION("""COMPUTED_VALUE"""),"https://masterplan.com/courses/recht-online-marketing")</f>
        <v>https://masterplan.com/courses/recht-online-marketing</v>
      </c>
    </row>
    <row r="724">
      <c r="A724" s="6" t="str">
        <f>IFERROR(__xludf.DUMMYFUNCTION("""COMPUTED_VALUE"""),"Innovationen intelligent implementieren")</f>
        <v>Innovationen intelligent implementieren</v>
      </c>
      <c r="B724" s="7" t="str">
        <f>IFERROR(__xludf.DUMMYFUNCTION("""COMPUTED_VALUE"""),"Implement Innovations Intelligently")</f>
        <v>Implement Innovations Intelligently</v>
      </c>
      <c r="C724" s="8" t="str">
        <f>IFERROR(__xludf.DUMMYFUNCTION("""COMPUTED_VALUE"""),"Innovation ist heute wichtiger denn je, um am Ball zu bleiben. Welche Voraussetzungen müssen im Unternehmen geschaffen werden, um Innovationen zu ermöglichen? Warum fällt es uns so schwer, innovativ zu sein? Und welche Rolle spielen Schlüssel dabei?")</f>
        <v>Innovation ist heute wichtiger denn je, um am Ball zu bleiben. Welche Voraussetzungen müssen im Unternehmen geschaffen werden, um Innovationen zu ermöglichen? Warum fällt es uns so schwer, innovativ zu sein? Und welche Rolle spielen Schlüssel dabei?</v>
      </c>
      <c r="D724" s="8" t="str">
        <f>IFERROR(__xludf.DUMMYFUNCTION("""COMPUTED_VALUE"""),"Innovation is more vital in keeping us on the ball today than ever before. Which requirements must companies meet in order to enable innovation? Why is it so difficult for us to be innovative? What role do keys play in this?")</f>
        <v>Innovation is more vital in keeping us on the ball today than ever before. Which requirements must companies meet in order to enable innovation? Why is it so difficult for us to be innovative? What role do keys play in this?</v>
      </c>
      <c r="E724" s="18" t="str">
        <f>IFERROR(__xludf.DUMMYFUNCTION("""COMPUTED_VALUE"""),"Creativity and Innovation")</f>
        <v>Creativity and Innovation</v>
      </c>
      <c r="F724" s="10" t="str">
        <f>IFERROR(__xludf.DUMMYFUNCTION("""COMPUTED_VALUE"""),"Masterplan com GmbH - Markus Thomzik")</f>
        <v>Masterplan com GmbH - Markus Thomzik</v>
      </c>
      <c r="G724" s="11">
        <f>IFERROR(__xludf.DUMMYFUNCTION("""COMPUTED_VALUE"""),27.0)</f>
        <v>27</v>
      </c>
      <c r="H724" s="11">
        <f>IFERROR(__xludf.DUMMYFUNCTION("""COMPUTED_VALUE"""),21.0)</f>
        <v>21</v>
      </c>
      <c r="I724" s="12" t="str">
        <f>IFERROR(__xludf.DUMMYFUNCTION("""COMPUTED_VALUE"""),"English, German")</f>
        <v>English, German</v>
      </c>
      <c r="J724" s="12" t="str">
        <f>IFERROR(__xludf.DUMMYFUNCTION("""COMPUTED_VALUE"""),"German")</f>
        <v>German</v>
      </c>
      <c r="K724" s="13">
        <f>IFERROR(__xludf.DUMMYFUNCTION("""COMPUTED_VALUE"""),43496.0)</f>
        <v>43496</v>
      </c>
      <c r="L724" s="14" t="str">
        <f>IFERROR(__xludf.DUMMYFUNCTION("""COMPUTED_VALUE"""),"https://masterplan.com/courses/innovationsmanagement")</f>
        <v>https://masterplan.com/courses/innovationsmanagement</v>
      </c>
    </row>
    <row r="725">
      <c r="A725" s="15" t="str">
        <f>IFERROR(__xludf.DUMMYFUNCTION("""COMPUTED_VALUE"""),"Online-Zahlungssysteme: Schnell, Praktisch, Sicher? ")</f>
        <v>Online-Zahlungssysteme: Schnell, Praktisch, Sicher? </v>
      </c>
      <c r="B725" s="16" t="str">
        <f>IFERROR(__xludf.DUMMYFUNCTION("""COMPUTED_VALUE"""),"Faster, Better, Safer? Online Payment Systems Explained")</f>
        <v>Faster, Better, Safer? Online Payment Systems Explained</v>
      </c>
      <c r="C725" s="17" t="str">
        <f>IFERROR(__xludf.DUMMYFUNCTION("""COMPUTED_VALUE"""),"Wusstest du, dass ca. 39% der Kunden kurz vor dem Kauf abspringen, wenn ihre bevorzugte Bezahlmethode nicht angeboten wird? Nein? Dann gibt dir Sibyll Brüggemann einen Überblick über die Fallen im Online-Payment und wie Payment-Dienstleister helfen können"&amp;".")</f>
        <v>Wusstest du, dass ca. 39% der Kunden kurz vor dem Kauf abspringen, wenn ihre bevorzugte Bezahlmethode nicht angeboten wird? Nein? Dann gibt dir Sibyll Brüggemann einen Überblick über die Fallen im Online-Payment und wie Payment-Dienstleister helfen können.</v>
      </c>
      <c r="D725" s="17" t="str">
        <f>IFERROR(__xludf.DUMMYFUNCTION("""COMPUTED_VALUE"""),"Did you know that 39% of customers back out before making purchases when their preferred payment method is not available? No? Then Sibyll Brüggemann will give you an overview of the situations in online payment and how payment service providers can help.")</f>
        <v>Did you know that 39% of customers back out before making purchases when their preferred payment method is not available? No? Then Sibyll Brüggemann will give you an overview of the situations in online payment and how payment service providers can help.</v>
      </c>
      <c r="E725" s="9" t="str">
        <f>IFERROR(__xludf.DUMMYFUNCTION("""COMPUTED_VALUE"""),"Global Citizenship")</f>
        <v>Global Citizenship</v>
      </c>
      <c r="F725" s="19" t="str">
        <f>IFERROR(__xludf.DUMMYFUNCTION("""COMPUTED_VALUE"""),"Masterplan com GmbH - Sibyll Brüggemann")</f>
        <v>Masterplan com GmbH - Sibyll Brüggemann</v>
      </c>
      <c r="G725" s="20">
        <f>IFERROR(__xludf.DUMMYFUNCTION("""COMPUTED_VALUE"""),11.0)</f>
        <v>11</v>
      </c>
      <c r="H725" s="20">
        <f>IFERROR(__xludf.DUMMYFUNCTION("""COMPUTED_VALUE"""),16.0)</f>
        <v>16</v>
      </c>
      <c r="I725" s="21" t="str">
        <f>IFERROR(__xludf.DUMMYFUNCTION("""COMPUTED_VALUE"""),"English, German")</f>
        <v>English, German</v>
      </c>
      <c r="J725" s="21" t="str">
        <f>IFERROR(__xludf.DUMMYFUNCTION("""COMPUTED_VALUE"""),"German")</f>
        <v>German</v>
      </c>
      <c r="K725" s="22">
        <f>IFERROR(__xludf.DUMMYFUNCTION("""COMPUTED_VALUE"""),43496.0)</f>
        <v>43496</v>
      </c>
      <c r="L725" s="23" t="str">
        <f>IFERROR(__xludf.DUMMYFUNCTION("""COMPUTED_VALUE"""),"https://masterplan.com/courses/online-payment")</f>
        <v>https://masterplan.com/courses/online-payment</v>
      </c>
    </row>
    <row r="726">
      <c r="A726" s="6" t="str">
        <f>IFERROR(__xludf.DUMMYFUNCTION("""COMPUTED_VALUE"""),"DSGVO: Anwendung und populäre Irrtümer")</f>
        <v>DSGVO: Anwendung und populäre Irrtümer</v>
      </c>
      <c r="B726" s="7" t="str">
        <f>IFERROR(__xludf.DUMMYFUNCTION("""COMPUTED_VALUE"""),"GDPR - Use, Implementation and Common Misconceptions")</f>
        <v>GDPR - Use, Implementation and Common Misconceptions</v>
      </c>
      <c r="C726" s="8" t="str">
        <f>IFERROR(__xludf.DUMMYFUNCTION("""COMPUTED_VALUE"""),"Die Datenschutz-Grundverordnung ist spätestens seit ihrem Inkrafttreten im Mai 2018 in aller Munde und stellt Unternehmen vor große Herausforderungen. Was genau verändert sich denn nun in Sachen Datenschutz und wie können wir den neuen Regelungen gerecht "&amp;"werden?")</f>
        <v>Die Datenschutz-Grundverordnung ist spätestens seit ihrem Inkrafttreten im Mai 2018 in aller Munde und stellt Unternehmen vor große Herausforderungen. Was genau verändert sich denn nun in Sachen Datenschutz und wie können wir den neuen Regelungen gerecht werden?</v>
      </c>
      <c r="D726" s="8" t="str">
        <f>IFERROR(__xludf.DUMMYFUNCTION("""COMPUTED_VALUE"""),"Everyone's been talking about the General Data Protection Regulation since it was implemented in May 2018, presenting companies with large challenges. What exactly has changed in the realm of data security, and how can we fulfill the new rules?")</f>
        <v>Everyone's been talking about the General Data Protection Regulation since it was implemented in May 2018, presenting companies with large challenges. What exactly has changed in the realm of data security, and how can we fulfill the new rules?</v>
      </c>
      <c r="E726" s="9" t="str">
        <f>IFERROR(__xludf.DUMMYFUNCTION("""COMPUTED_VALUE"""),"Mandatory Training")</f>
        <v>Mandatory Training</v>
      </c>
      <c r="F726" s="10" t="str">
        <f>IFERROR(__xludf.DUMMYFUNCTION("""COMPUTED_VALUE"""),"Masterplan com GmbH - Christian Solmecke")</f>
        <v>Masterplan com GmbH - Christian Solmecke</v>
      </c>
      <c r="G726" s="11">
        <f>IFERROR(__xludf.DUMMYFUNCTION("""COMPUTED_VALUE"""),42.0)</f>
        <v>42</v>
      </c>
      <c r="H726" s="11">
        <f>IFERROR(__xludf.DUMMYFUNCTION("""COMPUTED_VALUE"""),21.0)</f>
        <v>21</v>
      </c>
      <c r="I726" s="12" t="str">
        <f>IFERROR(__xludf.DUMMYFUNCTION("""COMPUTED_VALUE"""),"English, German")</f>
        <v>English, German</v>
      </c>
      <c r="J726" s="12" t="str">
        <f>IFERROR(__xludf.DUMMYFUNCTION("""COMPUTED_VALUE"""),"English, German")</f>
        <v>English, German</v>
      </c>
      <c r="K726" s="13">
        <f>IFERROR(__xludf.DUMMYFUNCTION("""COMPUTED_VALUE"""),43496.0)</f>
        <v>43496</v>
      </c>
      <c r="L726" s="14" t="str">
        <f>IFERROR(__xludf.DUMMYFUNCTION("""COMPUTED_VALUE"""),"https://masterplan.com/courses/dsgvo")</f>
        <v>https://masterplan.com/courses/dsgvo</v>
      </c>
    </row>
    <row r="727">
      <c r="A727" s="15" t="str">
        <f>IFERROR(__xludf.DUMMYFUNCTION("""COMPUTED_VALUE"""),"Conversion Rate Optimierung (Advanced)")</f>
        <v>Conversion Rate Optimierung (Advanced)</v>
      </c>
      <c r="B727" s="16" t="str">
        <f>IFERROR(__xludf.DUMMYFUNCTION("""COMPUTED_VALUE"""),"Conversion Rate Optimization (Advanced)")</f>
        <v>Conversion Rate Optimization (Advanced)</v>
      </c>
      <c r="C727" s="17" t="str">
        <f>IFERROR(__xludf.DUMMYFUNCTION("""COMPUTED_VALUE"""),"Nach der Einführung in Conversion Rate Optimierung steigen wir in diesem Kurs noch tiefer ins Thema ein. Warum brauchen wir Wenn-Dann-Formulierungen? Und wieso ist ein Schaufenster nicht immer das perfektes Aushängeschild? André Morys gibt dir die Antwort"&amp;"en.")</f>
        <v>Nach der Einführung in Conversion Rate Optimierung steigen wir in diesem Kurs noch tiefer ins Thema ein. Warum brauchen wir Wenn-Dann-Formulierungen? Und wieso ist ein Schaufenster nicht immer das perfektes Aushängeschild? André Morys gibt dir die Antworten.</v>
      </c>
      <c r="D727" s="17" t="str">
        <f>IFERROR(__xludf.DUMMYFUNCTION("""COMPUTED_VALUE"""),"In this course, after the implementation of conversion rate optimization, we will dive even deeper into the topic. Why do we need if/then formulations? And why is it that the perfect sign is not always in the shop window? André Morys gives you an answer.")</f>
        <v>In this course, after the implementation of conversion rate optimization, we will dive even deeper into the topic. Why do we need if/then formulations? And why is it that the perfect sign is not always in the shop window? André Morys gives you an answer.</v>
      </c>
      <c r="E727" s="9" t="str">
        <f>IFERROR(__xludf.DUMMYFUNCTION("""COMPUTED_VALUE"""),"Global Citizenship")</f>
        <v>Global Citizenship</v>
      </c>
      <c r="F727" s="19" t="str">
        <f>IFERROR(__xludf.DUMMYFUNCTION("""COMPUTED_VALUE"""),"Masterplan com GmbH - Andre Morys")</f>
        <v>Masterplan com GmbH - Andre Morys</v>
      </c>
      <c r="G727" s="20">
        <f>IFERROR(__xludf.DUMMYFUNCTION("""COMPUTED_VALUE"""),9.0)</f>
        <v>9</v>
      </c>
      <c r="H727" s="20">
        <f>IFERROR(__xludf.DUMMYFUNCTION("""COMPUTED_VALUE"""),9.0)</f>
        <v>9</v>
      </c>
      <c r="I727" s="21" t="str">
        <f>IFERROR(__xludf.DUMMYFUNCTION("""COMPUTED_VALUE"""),"English, German")</f>
        <v>English, German</v>
      </c>
      <c r="J727" s="21" t="str">
        <f>IFERROR(__xludf.DUMMYFUNCTION("""COMPUTED_VALUE"""),"English, German")</f>
        <v>English, German</v>
      </c>
      <c r="K727" s="22">
        <f>IFERROR(__xludf.DUMMYFUNCTION("""COMPUTED_VALUE"""),43468.0)</f>
        <v>43468</v>
      </c>
      <c r="L727" s="23" t="str">
        <f>IFERROR(__xludf.DUMMYFUNCTION("""COMPUTED_VALUE"""),"https://masterplan.com/courses/conversion-rate-optimierung-advanced")</f>
        <v>https://masterplan.com/courses/conversion-rate-optimierung-advanced</v>
      </c>
    </row>
    <row r="728">
      <c r="A728" s="6" t="str">
        <f>IFERROR(__xludf.DUMMYFUNCTION("""COMPUTED_VALUE"""),"Conversion Rate Optimierung (Beginner)")</f>
        <v>Conversion Rate Optimierung (Beginner)</v>
      </c>
      <c r="B728" s="7" t="str">
        <f>IFERROR(__xludf.DUMMYFUNCTION("""COMPUTED_VALUE"""),"Conversion Rate Optimization (Beginner)")</f>
        <v>Conversion Rate Optimization (Beginner)</v>
      </c>
      <c r="C728" s="8" t="str">
        <f>IFERROR(__xludf.DUMMYFUNCTION("""COMPUTED_VALUE"""),"Unser Unternehmenserfolg hängt maßgeblich davon ab, dass Nutzer das tun, was wir wollen. Wie können wir dafür unsere Webseiten verbessern? Was kann ein A/B-Test dazu beitragen? Und wieso ist es ein gutes Beispiel, dass das Wasser im Supermarkt immer ganz "&amp;"hinten steht?")</f>
        <v>Unser Unternehmenserfolg hängt maßgeblich davon ab, dass Nutzer das tun, was wir wollen. Wie können wir dafür unsere Webseiten verbessern? Was kann ein A/B-Test dazu beitragen? Und wieso ist es ein gutes Beispiel, dass das Wasser im Supermarkt immer ganz hinten steht?</v>
      </c>
      <c r="D728" s="8" t="str">
        <f>IFERROR(__xludf.DUMMYFUNCTION("""COMPUTED_VALUE"""),"Our company success depends essentially on users doing what we want. How can we improve our websites for this? What can A/B testing contribute? And why is the fact that water is always kept in the very back of supermarkets such a good example?")</f>
        <v>Our company success depends essentially on users doing what we want. How can we improve our websites for this? What can A/B testing contribute? And why is the fact that water is always kept in the very back of supermarkets such a good example?</v>
      </c>
      <c r="E728" s="9" t="str">
        <f>IFERROR(__xludf.DUMMYFUNCTION("""COMPUTED_VALUE"""),"Global Citizenship")</f>
        <v>Global Citizenship</v>
      </c>
      <c r="F728" s="10" t="str">
        <f>IFERROR(__xludf.DUMMYFUNCTION("""COMPUTED_VALUE"""),"Masterplan com GmbH - Andre Morys")</f>
        <v>Masterplan com GmbH - Andre Morys</v>
      </c>
      <c r="G728" s="11">
        <f>IFERROR(__xludf.DUMMYFUNCTION("""COMPUTED_VALUE"""),9.0)</f>
        <v>9</v>
      </c>
      <c r="H728" s="11">
        <f>IFERROR(__xludf.DUMMYFUNCTION("""COMPUTED_VALUE"""),9.0)</f>
        <v>9</v>
      </c>
      <c r="I728" s="12" t="str">
        <f>IFERROR(__xludf.DUMMYFUNCTION("""COMPUTED_VALUE"""),"English, German")</f>
        <v>English, German</v>
      </c>
      <c r="J728" s="12" t="str">
        <f>IFERROR(__xludf.DUMMYFUNCTION("""COMPUTED_VALUE"""),"English, German")</f>
        <v>English, German</v>
      </c>
      <c r="K728" s="13">
        <f>IFERROR(__xludf.DUMMYFUNCTION("""COMPUTED_VALUE"""),43468.0)</f>
        <v>43468</v>
      </c>
      <c r="L728" s="14" t="str">
        <f>IFERROR(__xludf.DUMMYFUNCTION("""COMPUTED_VALUE"""),"https://masterplan.com/courses/conversion-rate-optimierung-beginner")</f>
        <v>https://masterplan.com/courses/conversion-rate-optimierung-beginner</v>
      </c>
    </row>
    <row r="729">
      <c r="A729" s="15" t="str">
        <f>IFERROR(__xludf.DUMMYFUNCTION("""COMPUTED_VALUE"""),"Das lernende Unternehmen")</f>
        <v>Das lernende Unternehmen</v>
      </c>
      <c r="B729" s="16" t="str">
        <f>IFERROR(__xludf.DUMMYFUNCTION("""COMPUTED_VALUE"""),"The Learning Company")</f>
        <v>The Learning Company</v>
      </c>
      <c r="C729" s="17" t="str">
        <f>IFERROR(__xludf.DUMMYFUNCTION("""COMPUTED_VALUE"""),"Lebenslanges Lernen ist einer der Kerntreiber für den heutigen und künftigen Unternehmenserfolg. Aber wie können wir Lernen zum festen Bestandteil des Arbeitsalltags jedes Mitarbeiters machen? Und was sind mögliche erste Schritte, die wir schon heute gehe"&amp;"n können?")</f>
        <v>Lebenslanges Lernen ist einer der Kerntreiber für den heutigen und künftigen Unternehmenserfolg. Aber wie können wir Lernen zum festen Bestandteil des Arbeitsalltags jedes Mitarbeiters machen? Und was sind mögliche erste Schritte, die wir schon heute gehen können?</v>
      </c>
      <c r="D729" s="17" t="str">
        <f>IFERROR(__xludf.DUMMYFUNCTION("""COMPUTED_VALUE"""),"Lifelong learning is one of the driving forces in determining the current and future success of companies. How can we make learning a fixed component of every employee’s workday? And what are the possible first steps that we can take today?")</f>
        <v>Lifelong learning is one of the driving forces in determining the current and future success of companies. How can we make learning a fixed component of every employee’s workday? And what are the possible first steps that we can take today?</v>
      </c>
      <c r="E729" s="18" t="str">
        <f>IFERROR(__xludf.DUMMYFUNCTION("""COMPUTED_VALUE"""),"Creativity and Innovation")</f>
        <v>Creativity and Innovation</v>
      </c>
      <c r="F729" s="19" t="str">
        <f>IFERROR(__xludf.DUMMYFUNCTION("""COMPUTED_VALUE"""),"Masterplan com GmbH - Thomas Tillmann")</f>
        <v>Masterplan com GmbH - Thomas Tillmann</v>
      </c>
      <c r="G729" s="20">
        <f>IFERROR(__xludf.DUMMYFUNCTION("""COMPUTED_VALUE"""),17.0)</f>
        <v>17</v>
      </c>
      <c r="H729" s="20">
        <f>IFERROR(__xludf.DUMMYFUNCTION("""COMPUTED_VALUE"""),19.0)</f>
        <v>19</v>
      </c>
      <c r="I729" s="21" t="str">
        <f>IFERROR(__xludf.DUMMYFUNCTION("""COMPUTED_VALUE"""),"English, German")</f>
        <v>English, German</v>
      </c>
      <c r="J729" s="21" t="str">
        <f>IFERROR(__xludf.DUMMYFUNCTION("""COMPUTED_VALUE"""),"English, German")</f>
        <v>English, German</v>
      </c>
      <c r="K729" s="22">
        <f>IFERROR(__xludf.DUMMYFUNCTION("""COMPUTED_VALUE"""),43468.0)</f>
        <v>43468</v>
      </c>
      <c r="L729" s="23" t="str">
        <f>IFERROR(__xludf.DUMMYFUNCTION("""COMPUTED_VALUE"""),"https://masterplan.com/courses/learning-culture")</f>
        <v>https://masterplan.com/courses/learning-culture</v>
      </c>
    </row>
    <row r="730">
      <c r="A730" s="6" t="str">
        <f>IFERROR(__xludf.DUMMYFUNCTION("""COMPUTED_VALUE"""),"Conversion Rate Optimierung (Expert)")</f>
        <v>Conversion Rate Optimierung (Expert)</v>
      </c>
      <c r="B730" s="7" t="str">
        <f>IFERROR(__xludf.DUMMYFUNCTION("""COMPUTED_VALUE"""),"Conversion Rate Optimization (Expert)")</f>
        <v>Conversion Rate Optimization (Expert)</v>
      </c>
      <c r="C730" s="8" t="str">
        <f>IFERROR(__xludf.DUMMYFUNCTION("""COMPUTED_VALUE"""),"Wenn du nicht schlafen kannst, weil deine A/B-Test keine signifikanten Ergebnisse erzielen, dann solltest du dir unbedingt diesen Kurs anschauen. Du wirst die goldene Mitte finden und psychologische Methoden kennenlernen, die dir helfen, deine Kunden zu b"&amp;"eeinflussen.")</f>
        <v>Wenn du nicht schlafen kannst, weil deine A/B-Test keine signifikanten Ergebnisse erzielen, dann solltest du dir unbedingt diesen Kurs anschauen. Du wirst die goldene Mitte finden und psychologische Methoden kennenlernen, die dir helfen, deine Kunden zu beeinflussen.</v>
      </c>
      <c r="D730" s="8" t="str">
        <f>IFERROR(__xludf.DUMMYFUNCTION("""COMPUTED_VALUE"""),"If you can’t sleep because your A/B testing did not obtain any significant results, then you should absolutely watch this course. You will find the golden center and learn about psychological methods that can help you influence your customers.")</f>
        <v>If you can’t sleep because your A/B testing did not obtain any significant results, then you should absolutely watch this course. You will find the golden center and learn about psychological methods that can help you influence your customers.</v>
      </c>
      <c r="E730" s="9" t="str">
        <f>IFERROR(__xludf.DUMMYFUNCTION("""COMPUTED_VALUE"""),"Global Citizenship")</f>
        <v>Global Citizenship</v>
      </c>
      <c r="F730" s="10" t="str">
        <f>IFERROR(__xludf.DUMMYFUNCTION("""COMPUTED_VALUE"""),"Masterplan com GmbH - Andre Morys")</f>
        <v>Masterplan com GmbH - Andre Morys</v>
      </c>
      <c r="G730" s="11">
        <f>IFERROR(__xludf.DUMMYFUNCTION("""COMPUTED_VALUE"""),9.0)</f>
        <v>9</v>
      </c>
      <c r="H730" s="11">
        <f>IFERROR(__xludf.DUMMYFUNCTION("""COMPUTED_VALUE"""),9.0)</f>
        <v>9</v>
      </c>
      <c r="I730" s="12" t="str">
        <f>IFERROR(__xludf.DUMMYFUNCTION("""COMPUTED_VALUE"""),"English, German")</f>
        <v>English, German</v>
      </c>
      <c r="J730" s="12" t="str">
        <f>IFERROR(__xludf.DUMMYFUNCTION("""COMPUTED_VALUE"""),"English, German")</f>
        <v>English, German</v>
      </c>
      <c r="K730" s="13">
        <f>IFERROR(__xludf.DUMMYFUNCTION("""COMPUTED_VALUE"""),43468.0)</f>
        <v>43468</v>
      </c>
      <c r="L730" s="14" t="str">
        <f>IFERROR(__xludf.DUMMYFUNCTION("""COMPUTED_VALUE"""),"https://masterplan.com/courses/conversion-rate-optimierung-expert")</f>
        <v>https://masterplan.com/courses/conversion-rate-optimierung-expert</v>
      </c>
    </row>
    <row r="731">
      <c r="A731" s="15" t="str">
        <f>IFERROR(__xludf.DUMMYFUNCTION("""COMPUTED_VALUE"""),"Echter Werben mit Native Advertising")</f>
        <v>Echter Werben mit Native Advertising</v>
      </c>
      <c r="B731" s="16" t="str">
        <f>IFERROR(__xludf.DUMMYFUNCTION("""COMPUTED_VALUE"""),"Native Advertising: The Real Feel")</f>
        <v>Native Advertising: The Real Feel</v>
      </c>
      <c r="C731" s="17" t="str">
        <f>IFERROR(__xludf.DUMMYFUNCTION("""COMPUTED_VALUE"""),"Gib es zu: auch du hast einen Adblocker installiert, damit du die unzähligen, nervigen Werbebanner im Internet nicht mehr sehen musst. Aber wie kann man es besser machen? Native Advertising heißt das Zauberwort. Und das hat zum Glück nichts mit Gewinnspie"&amp;"len zu tun.")</f>
        <v>Gib es zu: auch du hast einen Adblocker installiert, damit du die unzähligen, nervigen Werbebanner im Internet nicht mehr sehen musst. Aber wie kann man es besser machen? Native Advertising heißt das Zauberwort. Und das hat zum Glück nichts mit Gewinnspielen zu tun.</v>
      </c>
      <c r="D731" s="17" t="str">
        <f>IFERROR(__xludf.DUMMYFUNCTION("""COMPUTED_VALUE"""),"Admit it: you installed an adblocker so you don't have to see the countless and annoying advertising banners on the Internet anymore. But how can you make better ads? Native advertising is the magic word. And fortunately, this has nothing to do with lotte"&amp;"ries.")</f>
        <v>Admit it: you installed an adblocker so you don't have to see the countless and annoying advertising banners on the Internet anymore. But how can you make better ads? Native advertising is the magic word. And fortunately, this has nothing to do with lotteries.</v>
      </c>
      <c r="E731" s="9" t="str">
        <f>IFERROR(__xludf.DUMMYFUNCTION("""COMPUTED_VALUE"""),"Global Citizenship")</f>
        <v>Global Citizenship</v>
      </c>
      <c r="F731" s="19" t="str">
        <f>IFERROR(__xludf.DUMMYFUNCTION("""COMPUTED_VALUE"""),"Masterplan com GmbH - Coskun Tuna")</f>
        <v>Masterplan com GmbH - Coskun Tuna</v>
      </c>
      <c r="G731" s="20">
        <f>IFERROR(__xludf.DUMMYFUNCTION("""COMPUTED_VALUE"""),31.0)</f>
        <v>31</v>
      </c>
      <c r="H731" s="20">
        <f>IFERROR(__xludf.DUMMYFUNCTION("""COMPUTED_VALUE"""),19.0)</f>
        <v>19</v>
      </c>
      <c r="I731" s="21" t="str">
        <f>IFERROR(__xludf.DUMMYFUNCTION("""COMPUTED_VALUE"""),"English, German")</f>
        <v>English, German</v>
      </c>
      <c r="J731" s="21" t="str">
        <f>IFERROR(__xludf.DUMMYFUNCTION("""COMPUTED_VALUE"""),"German")</f>
        <v>German</v>
      </c>
      <c r="K731" s="22">
        <f>IFERROR(__xludf.DUMMYFUNCTION("""COMPUTED_VALUE"""),43468.0)</f>
        <v>43468</v>
      </c>
      <c r="L731" s="23" t="str">
        <f>IFERROR(__xludf.DUMMYFUNCTION("""COMPUTED_VALUE"""),"https://masterplan.com/courses/native-advertising")</f>
        <v>https://masterplan.com/courses/native-advertising</v>
      </c>
    </row>
    <row r="732">
      <c r="A732" s="6" t="str">
        <f>IFERROR(__xludf.DUMMYFUNCTION("""COMPUTED_VALUE"""),"Brand Ambassador Marketing")</f>
        <v>Brand Ambassador Marketing</v>
      </c>
      <c r="B732" s="7" t="str">
        <f>IFERROR(__xludf.DUMMYFUNCTION("""COMPUTED_VALUE"""),"Brand Ambassador Marketing")</f>
        <v>Brand Ambassador Marketing</v>
      </c>
      <c r="C732" s="8" t="str">
        <f>IFERROR(__xludf.DUMMYFUNCTION("""COMPUTED_VALUE"""),"Werbung wird meist bewusst ignoriert und Vertrauen wird ihr für gewöhnlich auch nicht mehr entgegengebracht. Wie können wir diese Probleme umgehen? Und wie kann uns Empfehlungsmarketing dabei helfen, relevant und glaubwürdig zu werben?")</f>
        <v>Werbung wird meist bewusst ignoriert und Vertrauen wird ihr für gewöhnlich auch nicht mehr entgegengebracht. Wie können wir diese Probleme umgehen? Und wie kann uns Empfehlungsmarketing dabei helfen, relevant und glaubwürdig zu werben?</v>
      </c>
      <c r="D732" s="8" t="str">
        <f>IFERROR(__xludf.DUMMYFUNCTION("""COMPUTED_VALUE"""),"Advertising is usually ignored on purpose and considered untrustworthy. How can we avoid these problems? And how can Referral Marketing help us to advertise in a relevant and credible way?")</f>
        <v>Advertising is usually ignored on purpose and considered untrustworthy. How can we avoid these problems? And how can Referral Marketing help us to advertise in a relevant and credible way?</v>
      </c>
      <c r="E732" s="9" t="str">
        <f>IFERROR(__xludf.DUMMYFUNCTION("""COMPUTED_VALUE"""),"Global Citizenship")</f>
        <v>Global Citizenship</v>
      </c>
      <c r="F732" s="10" t="str">
        <f>IFERROR(__xludf.DUMMYFUNCTION("""COMPUTED_VALUE"""),"Masterplan com GmbH - Florian Eckelmann")</f>
        <v>Masterplan com GmbH - Florian Eckelmann</v>
      </c>
      <c r="G732" s="11">
        <f>IFERROR(__xludf.DUMMYFUNCTION("""COMPUTED_VALUE"""),31.0)</f>
        <v>31</v>
      </c>
      <c r="H732" s="11">
        <f>IFERROR(__xludf.DUMMYFUNCTION("""COMPUTED_VALUE"""),18.0)</f>
        <v>18</v>
      </c>
      <c r="I732" s="12" t="str">
        <f>IFERROR(__xludf.DUMMYFUNCTION("""COMPUTED_VALUE"""),"English, German")</f>
        <v>English, German</v>
      </c>
      <c r="J732" s="12" t="str">
        <f>IFERROR(__xludf.DUMMYFUNCTION("""COMPUTED_VALUE"""),"German")</f>
        <v>German</v>
      </c>
      <c r="K732" s="13">
        <f>IFERROR(__xludf.DUMMYFUNCTION("""COMPUTED_VALUE"""),43468.0)</f>
        <v>43468</v>
      </c>
      <c r="L732" s="14" t="str">
        <f>IFERROR(__xludf.DUMMYFUNCTION("""COMPUTED_VALUE"""),"https://masterplan.com/courses/brand-ambassador-marketing")</f>
        <v>https://masterplan.com/courses/brand-ambassador-marketing</v>
      </c>
    </row>
    <row r="733">
      <c r="A733" s="15" t="str">
        <f>IFERROR(__xludf.DUMMYFUNCTION("""COMPUTED_VALUE"""),"Führung durch Mitarbeiter: Von hierarchisch zu agil")</f>
        <v>Führung durch Mitarbeiter: Von hierarchisch zu agil</v>
      </c>
      <c r="B733" s="16" t="str">
        <f>IFERROR(__xludf.DUMMYFUNCTION("""COMPUTED_VALUE"""),"Leadership by Staff: From Hierarchy to Agile")</f>
        <v>Leadership by Staff: From Hierarchy to Agile</v>
      </c>
      <c r="C733" s="17" t="str">
        <f>IFERROR(__xludf.DUMMYFUNCTION("""COMPUTED_VALUE"""),"Agiles Arbeiten ist für die meisten Startups ein Kinderspiel. Aber wie schaffen wir das auch in hierarchischen Settings? Wie können wir Mitarbeiter an Bord holen um Scrum oder Kanban auszuprobieren? Und was haben Reisekostenabrechnungen damit zu tun?")</f>
        <v>Agiles Arbeiten ist für die meisten Startups ein Kinderspiel. Aber wie schaffen wir das auch in hierarchischen Settings? Wie können wir Mitarbeiter an Bord holen um Scrum oder Kanban auszuprobieren? Und was haben Reisekostenabrechnungen damit zu tun?</v>
      </c>
      <c r="D733" s="17" t="str">
        <f>IFERROR(__xludf.DUMMYFUNCTION("""COMPUTED_VALUE"""),"Agile working is a breeze for most startups. But how can we manage this in a hierarchy? How can we get our employees on board and start the first tests together? And what do travel expense accounts have to do with it?")</f>
        <v>Agile working is a breeze for most startups. But how can we manage this in a hierarchy? How can we get our employees on board and start the first tests together? And what do travel expense accounts have to do with it?</v>
      </c>
      <c r="E733" s="26" t="str">
        <f>IFERROR(__xludf.DUMMYFUNCTION("""COMPUTED_VALUE"""),"Collaboration and Leadership")</f>
        <v>Collaboration and Leadership</v>
      </c>
      <c r="F733" s="19" t="str">
        <f>IFERROR(__xludf.DUMMYFUNCTION("""COMPUTED_VALUE"""),"Masterplan com GmbH - Jutta Eckstein &amp; Lena Kuschke (Moderatorin)")</f>
        <v>Masterplan com GmbH - Jutta Eckstein &amp; Lena Kuschke (Moderatorin)</v>
      </c>
      <c r="G733" s="20">
        <f>IFERROR(__xludf.DUMMYFUNCTION("""COMPUTED_VALUE"""),52.0)</f>
        <v>52</v>
      </c>
      <c r="H733" s="20">
        <f>IFERROR(__xludf.DUMMYFUNCTION("""COMPUTED_VALUE"""),15.0)</f>
        <v>15</v>
      </c>
      <c r="I733" s="21" t="str">
        <f>IFERROR(__xludf.DUMMYFUNCTION("""COMPUTED_VALUE"""),"English, German")</f>
        <v>English, German</v>
      </c>
      <c r="J733" s="21" t="str">
        <f>IFERROR(__xludf.DUMMYFUNCTION("""COMPUTED_VALUE"""),"German")</f>
        <v>German</v>
      </c>
      <c r="K733" s="22">
        <f>IFERROR(__xludf.DUMMYFUNCTION("""COMPUTED_VALUE"""),43467.0)</f>
        <v>43467</v>
      </c>
      <c r="L733" s="23" t="str">
        <f>IFERROR(__xludf.DUMMYFUNCTION("""COMPUTED_VALUE"""),"https://masterplan.com/courses/hierarchy-becomes-agile")</f>
        <v>https://masterplan.com/courses/hierarchy-becomes-agile</v>
      </c>
    </row>
    <row r="734">
      <c r="A734" s="6" t="str">
        <f>IFERROR(__xludf.DUMMYFUNCTION("""COMPUTED_VALUE"""),"Mit smarter Datennutzung zu besserem Management II")</f>
        <v>Mit smarter Datennutzung zu besserem Management II</v>
      </c>
      <c r="B734" s="7" t="str">
        <f>IFERROR(__xludf.DUMMYFUNCTION("""COMPUTED_VALUE"""),"Smart Data Use for Better Management II")</f>
        <v>Smart Data Use for Better Management II</v>
      </c>
      <c r="C734" s="8" t="str">
        <f>IFERROR(__xludf.DUMMYFUNCTION("""COMPUTED_VALUE"""),"Mit den Themen Daten und Big Data haben wir uns bereits auseinandergesetzt. Jetzt wird es Zeit, tiefer einzusteigen: Wie können wir eine durchdachte Datenstrategie entwickeln, die alle wichtigen Bereiche wie Erfassung, Analyse und Speicherung beinhaltet? "&amp;"(Stand 2019)")</f>
        <v>Mit den Themen Daten und Big Data haben wir uns bereits auseinandergesetzt. Jetzt wird es Zeit, tiefer einzusteigen: Wie können wir eine durchdachte Datenstrategie entwickeln, die alle wichtigen Bereiche wie Erfassung, Analyse und Speicherung beinhaltet? (Stand 2019)</v>
      </c>
      <c r="D734" s="8" t="str">
        <f>IFERROR(__xludf.DUMMYFUNCTION("""COMPUTED_VALUE"""),"We have already dealt with the subject of data. Now it is time to go deeper: how can we develop a well thought-out data strategy that includes all the important areas such as collection, analysis and storage?")</f>
        <v>We have already dealt with the subject of data. Now it is time to go deeper: how can we develop a well thought-out data strategy that includes all the important areas such as collection, analysis and storage?</v>
      </c>
      <c r="E734" s="25" t="str">
        <f>IFERROR(__xludf.DUMMYFUNCTION("""COMPUTED_VALUE"""),"Digital Literacy")</f>
        <v>Digital Literacy</v>
      </c>
      <c r="F734" s="10" t="str">
        <f>IFERROR(__xludf.DUMMYFUNCTION("""COMPUTED_VALUE"""),"Masterplan com GmbH - Mark Bosold")</f>
        <v>Masterplan com GmbH - Mark Bosold</v>
      </c>
      <c r="G734" s="11">
        <f>IFERROR(__xludf.DUMMYFUNCTION("""COMPUTED_VALUE"""),20.0)</f>
        <v>20</v>
      </c>
      <c r="H734" s="11">
        <f>IFERROR(__xludf.DUMMYFUNCTION("""COMPUTED_VALUE"""),15.0)</f>
        <v>15</v>
      </c>
      <c r="I734" s="12" t="str">
        <f>IFERROR(__xludf.DUMMYFUNCTION("""COMPUTED_VALUE"""),"English, German")</f>
        <v>English, German</v>
      </c>
      <c r="J734" s="12" t="str">
        <f>IFERROR(__xludf.DUMMYFUNCTION("""COMPUTED_VALUE"""),"English, German")</f>
        <v>English, German</v>
      </c>
      <c r="K734" s="13">
        <f>IFERROR(__xludf.DUMMYFUNCTION("""COMPUTED_VALUE"""),43207.0)</f>
        <v>43207</v>
      </c>
      <c r="L734" s="14" t="str">
        <f>IFERROR(__xludf.DUMMYFUNCTION("""COMPUTED_VALUE"""),"https://masterplan.com/courses/daten-2")</f>
        <v>https://masterplan.com/courses/daten-2</v>
      </c>
    </row>
    <row r="735">
      <c r="A735" s="15" t="str">
        <f>IFERROR(__xludf.DUMMYFUNCTION("""COMPUTED_VALUE"""),"New Work")</f>
        <v>New Work</v>
      </c>
      <c r="B735" s="16" t="str">
        <f>IFERROR(__xludf.DUMMYFUNCTION("""COMPUTED_VALUE"""),"New Work")</f>
        <v>New Work</v>
      </c>
      <c r="C735" s="17" t="str">
        <f>IFERROR(__xludf.DUMMYFUNCTION("""COMPUTED_VALUE"""),"Mit dem Begriff “New Work” schmeißt heute jeder Zweite um sich - umso wichtiger ist es, zu verstehen, was dahintersteckt. Was ist denn so neu am Arbeiten in der digitalen Welt und was haben wir davon? Und was hat die kranke Oma mit meiner Zeiteinteilung i"&amp;"m Job zu tun?")</f>
        <v>Mit dem Begriff “New Work” schmeißt heute jeder Zweite um sich - umso wichtiger ist es, zu verstehen, was dahintersteckt. Was ist denn so neu am Arbeiten in der digitalen Welt und was haben wir davon? Und was hat die kranke Oma mit meiner Zeiteinteilung im Job zu tun?</v>
      </c>
      <c r="D735" s="17" t="str">
        <f>IFERROR(__xludf.DUMMYFUNCTION("""COMPUTED_VALUE"""),"What's so new about working in the digital world and what's in it for us? And what does the sick grandmother have to do with my time management on the job?")</f>
        <v>What's so new about working in the digital world and what's in it for us? And what does the sick grandmother have to do with my time management on the job?</v>
      </c>
      <c r="E735" s="26" t="str">
        <f>IFERROR(__xludf.DUMMYFUNCTION("""COMPUTED_VALUE"""),"Collaboration and Leadership")</f>
        <v>Collaboration and Leadership</v>
      </c>
      <c r="F735" s="19" t="str">
        <f>IFERROR(__xludf.DUMMYFUNCTION("""COMPUTED_VALUE"""),"Masterplan com GmbH - Oliver Tuszik")</f>
        <v>Masterplan com GmbH - Oliver Tuszik</v>
      </c>
      <c r="G735" s="20">
        <f>IFERROR(__xludf.DUMMYFUNCTION("""COMPUTED_VALUE"""),18.0)</f>
        <v>18</v>
      </c>
      <c r="H735" s="20">
        <f>IFERROR(__xludf.DUMMYFUNCTION("""COMPUTED_VALUE"""),10.0)</f>
        <v>10</v>
      </c>
      <c r="I735" s="21" t="str">
        <f>IFERROR(__xludf.DUMMYFUNCTION("""COMPUTED_VALUE"""),"English, German")</f>
        <v>English, German</v>
      </c>
      <c r="J735" s="21" t="str">
        <f>IFERROR(__xludf.DUMMYFUNCTION("""COMPUTED_VALUE"""),"English, German")</f>
        <v>English, German</v>
      </c>
      <c r="K735" s="22">
        <f>IFERROR(__xludf.DUMMYFUNCTION("""COMPUTED_VALUE"""),43206.0)</f>
        <v>43206</v>
      </c>
      <c r="L735" s="23" t="str">
        <f>IFERROR(__xludf.DUMMYFUNCTION("""COMPUTED_VALUE"""),"https://masterplan.com/courses/new-work")</f>
        <v>https://masterplan.com/courses/new-work</v>
      </c>
    </row>
    <row r="736">
      <c r="A736" s="6" t="str">
        <f>IFERROR(__xludf.DUMMYFUNCTION("""COMPUTED_VALUE"""),"Plattformen und Netzwerkeffekte")</f>
        <v>Plattformen und Netzwerkeffekte</v>
      </c>
      <c r="B736" s="7" t="str">
        <f>IFERROR(__xludf.DUMMYFUNCTION("""COMPUTED_VALUE"""),"Platforms and Network Effects")</f>
        <v>Platforms and Network Effects</v>
      </c>
      <c r="C736" s="8" t="str">
        <f>IFERROR(__xludf.DUMMYFUNCTION("""COMPUTED_VALUE"""),"Was unterscheidet Plattformen wie Amazon und Co. vom klassischen Online-Shop? Warum werden sie schnell so groß wie iTunes oder gehen schnell unter wie MySpace? Was sind Netzwerkeffekte? Und wie verdienen Facebook und LinkedIn eigentlich ihr Geld?")</f>
        <v>Was unterscheidet Plattformen wie Amazon und Co. vom klassischen Online-Shop? Warum werden sie schnell so groß wie iTunes oder gehen schnell unter wie MySpace? Was sind Netzwerkeffekte? Und wie verdienen Facebook und LinkedIn eigentlich ihr Geld?</v>
      </c>
      <c r="D736" s="8" t="str">
        <f>IFERROR(__xludf.DUMMYFUNCTION("""COMPUTED_VALUE"""),"What distinguishes platforms such as Amazon and Co. from classic online shops? Why do they quickly become as big as iTunes or quickly disappear like MySpace? What are network effects? And how do Facebook and LinkedIn actually earn their money?")</f>
        <v>What distinguishes platforms such as Amazon and Co. from classic online shops? Why do they quickly become as big as iTunes or quickly disappear like MySpace? What are network effects? And how do Facebook and LinkedIn actually earn their money?</v>
      </c>
      <c r="E736" s="9" t="str">
        <f>IFERROR(__xludf.DUMMYFUNCTION("""COMPUTED_VALUE"""),"Global Citizenship")</f>
        <v>Global Citizenship</v>
      </c>
      <c r="F736" s="10" t="str">
        <f>IFERROR(__xludf.DUMMYFUNCTION("""COMPUTED_VALUE"""),"Masterplan com GmbH - Mike Mahlkow")</f>
        <v>Masterplan com GmbH - Mike Mahlkow</v>
      </c>
      <c r="G736" s="11">
        <f>IFERROR(__xludf.DUMMYFUNCTION("""COMPUTED_VALUE"""),27.0)</f>
        <v>27</v>
      </c>
      <c r="H736" s="11">
        <f>IFERROR(__xludf.DUMMYFUNCTION("""COMPUTED_VALUE"""),16.0)</f>
        <v>16</v>
      </c>
      <c r="I736" s="12" t="str">
        <f>IFERROR(__xludf.DUMMYFUNCTION("""COMPUTED_VALUE"""),"English, German")</f>
        <v>English, German</v>
      </c>
      <c r="J736" s="12" t="str">
        <f>IFERROR(__xludf.DUMMYFUNCTION("""COMPUTED_VALUE"""),"English, German")</f>
        <v>English, German</v>
      </c>
      <c r="K736" s="13">
        <f>IFERROR(__xludf.DUMMYFUNCTION("""COMPUTED_VALUE"""),43206.0)</f>
        <v>43206</v>
      </c>
      <c r="L736" s="14" t="str">
        <f>IFERROR(__xludf.DUMMYFUNCTION("""COMPUTED_VALUE"""),"https://masterplan.com/courses/plattformen-netzwerkeffekte")</f>
        <v>https://masterplan.com/courses/plattformen-netzwerkeffekte</v>
      </c>
    </row>
    <row r="737">
      <c r="A737" s="15" t="str">
        <f>IFERROR(__xludf.DUMMYFUNCTION("""COMPUTED_VALUE"""),"Agil, Kreativ, Innovativ: Methoden für besseres Arbeiten")</f>
        <v>Agil, Kreativ, Innovativ: Methoden für besseres Arbeiten</v>
      </c>
      <c r="B737" s="16" t="str">
        <f>IFERROR(__xludf.DUMMYFUNCTION("""COMPUTED_VALUE"""),"Agile, Creative, Innovative: Methods for Better Working")</f>
        <v>Agile, Creative, Innovative: Methods for Better Working</v>
      </c>
      <c r="C737" s="17" t="str">
        <f>IFERROR(__xludf.DUMMYFUNCTION("""COMPUTED_VALUE"""),"Wir müssen agiler werden, um mit der Veränderungsgeschwindigkeit mitzuhalten. Aber wie schaffen wir das? Wie können uns Methoden wie Scrum und Kanban aus der Produkt- und der Software-Entwicklung helfen, besser zu werden? Und was können wir dabei von Toyo"&amp;"ta lernen?")</f>
        <v>Wir müssen agiler werden, um mit der Veränderungsgeschwindigkeit mitzuhalten. Aber wie schaffen wir das? Wie können uns Methoden wie Scrum und Kanban aus der Produkt- und der Software-Entwicklung helfen, besser zu werden? Und was können wir dabei von Toyota lernen?</v>
      </c>
      <c r="D737" s="17" t="str">
        <f>IFERROR(__xludf.DUMMYFUNCTION("""COMPUTED_VALUE"""),"We have to be faster to keep up with the pace of change. But how do we do it? How can methods from product and software development help us to get increasingly better? And what can we learn from Toyota?")</f>
        <v>We have to be faster to keep up with the pace of change. But how do we do it? How can methods from product and software development help us to get increasingly better? And what can we learn from Toyota?</v>
      </c>
      <c r="E737" s="9" t="str">
        <f>IFERROR(__xludf.DUMMYFUNCTION("""COMPUTED_VALUE"""),"Global Citizenship")</f>
        <v>Global Citizenship</v>
      </c>
      <c r="F737" s="19" t="str">
        <f>IFERROR(__xludf.DUMMYFUNCTION("""COMPUTED_VALUE"""),"Masterplan com GmbH - Stephan Grabmeier")</f>
        <v>Masterplan com GmbH - Stephan Grabmeier</v>
      </c>
      <c r="G737" s="20">
        <f>IFERROR(__xludf.DUMMYFUNCTION("""COMPUTED_VALUE"""),24.0)</f>
        <v>24</v>
      </c>
      <c r="H737" s="20">
        <f>IFERROR(__xludf.DUMMYFUNCTION("""COMPUTED_VALUE"""),13.0)</f>
        <v>13</v>
      </c>
      <c r="I737" s="21" t="str">
        <f>IFERROR(__xludf.DUMMYFUNCTION("""COMPUTED_VALUE"""),"English, German")</f>
        <v>English, German</v>
      </c>
      <c r="J737" s="21" t="str">
        <f>IFERROR(__xludf.DUMMYFUNCTION("""COMPUTED_VALUE"""),"English, German")</f>
        <v>English, German</v>
      </c>
      <c r="K737" s="22">
        <f>IFERROR(__xludf.DUMMYFUNCTION("""COMPUTED_VALUE"""),43206.0)</f>
        <v>43206</v>
      </c>
      <c r="L737" s="23" t="str">
        <f>IFERROR(__xludf.DUMMYFUNCTION("""COMPUTED_VALUE"""),"https://masterplan.com/courses/arbeitsmethoden")</f>
        <v>https://masterplan.com/courses/arbeitsmethoden</v>
      </c>
    </row>
    <row r="738">
      <c r="A738" s="6" t="str">
        <f>IFERROR(__xludf.DUMMYFUNCTION("""COMPUTED_VALUE"""),"Mit smarter Datennutzung zu besserem Management I")</f>
        <v>Mit smarter Datennutzung zu besserem Management I</v>
      </c>
      <c r="B738" s="7" t="str">
        <f>IFERROR(__xludf.DUMMYFUNCTION("""COMPUTED_VALUE"""),"Smart Data Use for Better Management I")</f>
        <v>Smart Data Use for Better Management I</v>
      </c>
      <c r="C738" s="8" t="str">
        <f>IFERROR(__xludf.DUMMYFUNCTION("""COMPUTED_VALUE"""),"Man hört es überall: Daten sind das neue Öl, der Treiber der Industrie 4.0. Aber was meinen wir mit dem Begriff genau und welche Daten sind im Unternehmenskontext relevant? Wie schaffen wir es mit ihrer Hilfe, dem Kunden näherzukommen? Und was ist eigentl"&amp;"ich “Big Data”? (Stand 2018)")</f>
        <v>Man hört es überall: Daten sind das neue Öl, der Treiber der Industrie 4.0. Aber was meinen wir mit dem Begriff genau und welche Daten sind im Unternehmenskontext relevant? Wie schaffen wir es mit ihrer Hilfe, dem Kunden näherzukommen? Und was ist eigentlich “Big Data”? (Stand 2018)</v>
      </c>
      <c r="D738" s="8" t="str">
        <f>IFERROR(__xludf.DUMMYFUNCTION("""COMPUTED_VALUE"""),"You can hear it everywhere: data are the new oil, the driver of Industry 4.0. But what exactly do we mean with this term and which data is relevant in the corporate context? How do we get closer to the customer with the help of data? And what is “Big Data"&amp;"”?")</f>
        <v>You can hear it everywhere: data are the new oil, the driver of Industry 4.0. But what exactly do we mean with this term and which data is relevant in the corporate context? How do we get closer to the customer with the help of data? And what is “Big Data”?</v>
      </c>
      <c r="E738" s="25" t="str">
        <f>IFERROR(__xludf.DUMMYFUNCTION("""COMPUTED_VALUE"""),"Digital Literacy")</f>
        <v>Digital Literacy</v>
      </c>
      <c r="F738" s="10" t="str">
        <f>IFERROR(__xludf.DUMMYFUNCTION("""COMPUTED_VALUE"""),"Masterplan com GmbH - Mark Bosold")</f>
        <v>Masterplan com GmbH - Mark Bosold</v>
      </c>
      <c r="G738" s="11">
        <f>IFERROR(__xludf.DUMMYFUNCTION("""COMPUTED_VALUE"""),14.0)</f>
        <v>14</v>
      </c>
      <c r="H738" s="11">
        <f>IFERROR(__xludf.DUMMYFUNCTION("""COMPUTED_VALUE"""),15.0)</f>
        <v>15</v>
      </c>
      <c r="I738" s="12" t="str">
        <f>IFERROR(__xludf.DUMMYFUNCTION("""COMPUTED_VALUE"""),"English, German")</f>
        <v>English, German</v>
      </c>
      <c r="J738" s="12" t="str">
        <f>IFERROR(__xludf.DUMMYFUNCTION("""COMPUTED_VALUE"""),"English, German")</f>
        <v>English, German</v>
      </c>
      <c r="K738" s="13">
        <f>IFERROR(__xludf.DUMMYFUNCTION("""COMPUTED_VALUE"""),43206.0)</f>
        <v>43206</v>
      </c>
      <c r="L738" s="14" t="str">
        <f>IFERROR(__xludf.DUMMYFUNCTION("""COMPUTED_VALUE"""),"https://masterplan.com/courses/daten-1")</f>
        <v>https://masterplan.com/courses/daten-1</v>
      </c>
    </row>
    <row r="739">
      <c r="A739" s="15" t="str">
        <f>IFERROR(__xludf.DUMMYFUNCTION("""COMPUTED_VALUE"""),"Digitale Unternehmenskultur (Trivago)")</f>
        <v>Digitale Unternehmenskultur (Trivago)</v>
      </c>
      <c r="B739" s="16" t="str">
        <f>IFERROR(__xludf.DUMMYFUNCTION("""COMPUTED_VALUE"""),"Digital Corporate Culture (Trivago)")</f>
        <v>Digital Corporate Culture (Trivago)</v>
      </c>
      <c r="C739" s="17" t="str">
        <f>IFERROR(__xludf.DUMMYFUNCTION("""COMPUTED_VALUE"""),"Hohe Veränderungsgeschwindigkeit, Daten als Basis für eine große Nähe zum Kunden - diese Tendenzen verlangen eine neue Unternehmenskultur. Aber wie können wir unsere alten Organisationsstrukturen hinter uns lassen? Und warum spielt Motivation dabei eine s"&amp;"o große Rolle?")</f>
        <v>Hohe Veränderungsgeschwindigkeit, Daten als Basis für eine große Nähe zum Kunden - diese Tendenzen verlangen eine neue Unternehmenskultur. Aber wie können wir unsere alten Organisationsstrukturen hinter uns lassen? Und warum spielt Motivation dabei eine so große Rolle?</v>
      </c>
      <c r="D739" s="17" t="str">
        <f>IFERROR(__xludf.DUMMYFUNCTION("""COMPUTED_VALUE"""),"High speed of change, data as the basis for great closeness to the customer - these tendencies require a new corporate culture. But how can we leave our old organizational structures behind? And why is motivation so important?")</f>
        <v>High speed of change, data as the basis for great closeness to the customer - these tendencies require a new corporate culture. But how can we leave our old organizational structures behind? And why is motivation so important?</v>
      </c>
      <c r="E739" s="26" t="str">
        <f>IFERROR(__xludf.DUMMYFUNCTION("""COMPUTED_VALUE"""),"Collaboration and Leadership")</f>
        <v>Collaboration and Leadership</v>
      </c>
      <c r="F739" s="19" t="str">
        <f>IFERROR(__xludf.DUMMYFUNCTION("""COMPUTED_VALUE"""),"Masterplan com GmbH - Rolf Schrömgens &amp; Stefan Peukert (Moderator)")</f>
        <v>Masterplan com GmbH - Rolf Schrömgens &amp; Stefan Peukert (Moderator)</v>
      </c>
      <c r="G739" s="20">
        <f>IFERROR(__xludf.DUMMYFUNCTION("""COMPUTED_VALUE"""),50.0)</f>
        <v>50</v>
      </c>
      <c r="H739" s="20">
        <f>IFERROR(__xludf.DUMMYFUNCTION("""COMPUTED_VALUE"""),30.0)</f>
        <v>30</v>
      </c>
      <c r="I739" s="21" t="str">
        <f>IFERROR(__xludf.DUMMYFUNCTION("""COMPUTED_VALUE"""),"English, German")</f>
        <v>English, German</v>
      </c>
      <c r="J739" s="21" t="str">
        <f>IFERROR(__xludf.DUMMYFUNCTION("""COMPUTED_VALUE"""),"English, German")</f>
        <v>English, German</v>
      </c>
      <c r="K739" s="22">
        <f>IFERROR(__xludf.DUMMYFUNCTION("""COMPUTED_VALUE"""),43206.0)</f>
        <v>43206</v>
      </c>
      <c r="L739" s="23" t="str">
        <f>IFERROR(__xludf.DUMMYFUNCTION("""COMPUTED_VALUE"""),"https://masterplan.com/courses/unternehmenskultur")</f>
        <v>https://masterplan.com/courses/unternehmenskultur</v>
      </c>
    </row>
    <row r="740">
      <c r="A740" s="6" t="str">
        <f>IFERROR(__xludf.DUMMYFUNCTION("""COMPUTED_VALUE"""),"Einführung in die Digitalisierung")</f>
        <v>Einführung in die Digitalisierung</v>
      </c>
      <c r="B740" s="7" t="str">
        <f>IFERROR(__xludf.DUMMYFUNCTION("""COMPUTED_VALUE"""),"Digital Transformation")</f>
        <v>Digital Transformation</v>
      </c>
      <c r="C740" s="8" t="str">
        <f>IFERROR(__xludf.DUMMYFUNCTION("""COMPUTED_VALUE"""),"Die digitale Transformation ist äußerst facettenreich und längst in vollem Gange. Was bedeutet das für Unternehmen und vor allem für dich als Mitarbeiter? Der Grundkurs vermittelt dir digitales Basiswissen und macht dich mit dem richtigen Mindset fit für "&amp;"die Zukunft.")</f>
        <v>Die digitale Transformation ist äußerst facettenreich und längst in vollem Gange. Was bedeutet das für Unternehmen und vor allem für dich als Mitarbeiter? Der Grundkurs vermittelt dir digitales Basiswissen und macht dich mit dem richtigen Mindset fit für die Zukunft.</v>
      </c>
      <c r="D740" s="8" t="str">
        <f>IFERROR(__xludf.DUMMYFUNCTION("""COMPUTED_VALUE"""),"Digital transformation is a diverse topic and we are already in the middle of it. What does this mean for companies and especially for you as an employee? This beginners' course teaches you basic digital knowledge and prepares you for future work with the"&amp;" right mindset.")</f>
        <v>Digital transformation is a diverse topic and we are already in the middle of it. What does this mean for companies and especially for you as an employee? This beginners' course teaches you basic digital knowledge and prepares you for future work with the right mindset.</v>
      </c>
      <c r="E740" s="25" t="str">
        <f>IFERROR(__xludf.DUMMYFUNCTION("""COMPUTED_VALUE"""),"Digital Literacy")</f>
        <v>Digital Literacy</v>
      </c>
      <c r="F740" s="10" t="str">
        <f>IFERROR(__xludf.DUMMYFUNCTION("""COMPUTED_VALUE"""),"Masterplan com GmbH - Christoph Keese")</f>
        <v>Masterplan com GmbH - Christoph Keese</v>
      </c>
      <c r="G740" s="11">
        <f>IFERROR(__xludf.DUMMYFUNCTION("""COMPUTED_VALUE"""),5.0)</f>
        <v>5</v>
      </c>
      <c r="H740" s="11">
        <f>IFERROR(__xludf.DUMMYFUNCTION("""COMPUTED_VALUE"""),1.0)</f>
        <v>1</v>
      </c>
      <c r="I740" s="12" t="str">
        <f>IFERROR(__xludf.DUMMYFUNCTION("""COMPUTED_VALUE"""),"English, German")</f>
        <v>English, German</v>
      </c>
      <c r="J740" s="12" t="str">
        <f>IFERROR(__xludf.DUMMYFUNCTION("""COMPUTED_VALUE"""),"English, German")</f>
        <v>English, German</v>
      </c>
      <c r="K740" s="13">
        <f>IFERROR(__xludf.DUMMYFUNCTION("""COMPUTED_VALUE"""),43206.0)</f>
        <v>43206</v>
      </c>
      <c r="L740" s="14" t="str">
        <f>IFERROR(__xludf.DUMMYFUNCTION("""COMPUTED_VALUE"""),"https://masterplan.com/courses/einleitung")</f>
        <v>https://masterplan.com/courses/einleitung</v>
      </c>
    </row>
    <row r="741">
      <c r="A741" s="15" t="str">
        <f>IFERROR(__xludf.DUMMYFUNCTION("""COMPUTED_VALUE"""),"Neue Technologien")</f>
        <v>Neue Technologien</v>
      </c>
      <c r="B741" s="16" t="str">
        <f>IFERROR(__xludf.DUMMYFUNCTION("""COMPUTED_VALUE"""),"New Technologies")</f>
        <v>New Technologies</v>
      </c>
      <c r="C741" s="17" t="str">
        <f>IFERROR(__xludf.DUMMYFUNCTION("""COMPUTED_VALUE"""),"Künstliche Intelligenz und Blockchain sind in aller Munde, aber was steckt hinter diesen Buzzwords? Warum ist Virtual Reality für uns relevant und was ist das IoT? Diese Technologien an sich sind schon spannend - erst recht, wenn man sie miteinander kombi"&amp;"niert!")</f>
        <v>Künstliche Intelligenz und Blockchain sind in aller Munde, aber was steckt hinter diesen Buzzwords? Warum ist Virtual Reality für uns relevant und was ist das IoT? Diese Technologien an sich sind schon spannend - erst recht, wenn man sie miteinander kombiniert!</v>
      </c>
      <c r="D741" s="17" t="str">
        <f>IFERROR(__xludf.DUMMYFUNCTION("""COMPUTED_VALUE"""),"We all talk about Artificial Intelligence and Blockchain, but what is behind these buzzwords? Why is Virtual Reality relevant for us and what is the IoT? These technologies are exciting - especially when you combine them!")</f>
        <v>We all talk about Artificial Intelligence and Blockchain, but what is behind these buzzwords? Why is Virtual Reality relevant for us and what is the IoT? These technologies are exciting - especially when you combine them!</v>
      </c>
      <c r="E741" s="25" t="str">
        <f>IFERROR(__xludf.DUMMYFUNCTION("""COMPUTED_VALUE"""),"Digital Literacy")</f>
        <v>Digital Literacy</v>
      </c>
      <c r="F741" s="19" t="str">
        <f>IFERROR(__xludf.DUMMYFUNCTION("""COMPUTED_VALUE"""),"Masterplan com GmbH - Christoph Magnussen")</f>
        <v>Masterplan com GmbH - Christoph Magnussen</v>
      </c>
      <c r="G741" s="20">
        <f>IFERROR(__xludf.DUMMYFUNCTION("""COMPUTED_VALUE"""),31.0)</f>
        <v>31</v>
      </c>
      <c r="H741" s="20">
        <f>IFERROR(__xludf.DUMMYFUNCTION("""COMPUTED_VALUE"""),19.0)</f>
        <v>19</v>
      </c>
      <c r="I741" s="21" t="str">
        <f>IFERROR(__xludf.DUMMYFUNCTION("""COMPUTED_VALUE"""),"English, German")</f>
        <v>English, German</v>
      </c>
      <c r="J741" s="21" t="str">
        <f>IFERROR(__xludf.DUMMYFUNCTION("""COMPUTED_VALUE"""),"English, German")</f>
        <v>English, German</v>
      </c>
      <c r="K741" s="22">
        <f>IFERROR(__xludf.DUMMYFUNCTION("""COMPUTED_VALUE"""),43206.0)</f>
        <v>43206</v>
      </c>
      <c r="L741" s="23" t="str">
        <f>IFERROR(__xludf.DUMMYFUNCTION("""COMPUTED_VALUE"""),"https://masterplan.com/courses/neue-technologien")</f>
        <v>https://masterplan.com/courses/neue-technologien</v>
      </c>
    </row>
    <row r="742">
      <c r="A742" s="6" t="str">
        <f>IFERROR(__xludf.DUMMYFUNCTION("""COMPUTED_VALUE"""),"Vision - Ziele - Handlung: Objectives and Key Results")</f>
        <v>Vision - Ziele - Handlung: Objectives and Key Results</v>
      </c>
      <c r="B742" s="7" t="str">
        <f>IFERROR(__xludf.DUMMYFUNCTION("""COMPUTED_VALUE"""),"Vision - Goals - Action: Objectives and Key Results")</f>
        <v>Vision - Goals - Action: Objectives and Key Results</v>
      </c>
      <c r="C742" s="8" t="str">
        <f>IFERROR(__xludf.DUMMYFUNCTION("""COMPUTED_VALUE"""),"Es gibt so viele Möglichkeiten, Ideen und Aufgaben - wie können wir diese priorisieren? Können wir in einer so schnellen Welt überhaupt planen? Und wie behalten wir dabei das Unternehmensziel im Blick? Lerne hier das Konzept OKR - Objectives and Key Resul"&amp;"ts - kennen!")</f>
        <v>Es gibt so viele Möglichkeiten, Ideen und Aufgaben - wie können wir diese priorisieren? Können wir in einer so schnellen Welt überhaupt planen? Und wie behalten wir dabei das Unternehmensziel im Blick? Lerne hier das Konzept OKR - Objectives and Key Results - kennen!</v>
      </c>
      <c r="D742" s="8" t="str">
        <f>IFERROR(__xludf.DUMMYFUNCTION("""COMPUTED_VALUE"""),"There are so many possibilities, ideas, and tasks - how do we manage to prioritize them? Can we even plan in such a fast world? And how do we not lose sight of our overall corporate goal?")</f>
        <v>There are so many possibilities, ideas, and tasks - how do we manage to prioritize them? Can we even plan in such a fast world? And how do we not lose sight of our overall corporate goal?</v>
      </c>
      <c r="E742" s="26" t="str">
        <f>IFERROR(__xludf.DUMMYFUNCTION("""COMPUTED_VALUE"""),"Collaboration and Leadership")</f>
        <v>Collaboration and Leadership</v>
      </c>
      <c r="F742" s="10" t="str">
        <f>IFERROR(__xludf.DUMMYFUNCTION("""COMPUTED_VALUE"""),"Masterplan com GmbH - Max Wittrock")</f>
        <v>Masterplan com GmbH - Max Wittrock</v>
      </c>
      <c r="G742" s="11">
        <f>IFERROR(__xludf.DUMMYFUNCTION("""COMPUTED_VALUE"""),37.0)</f>
        <v>37</v>
      </c>
      <c r="H742" s="11">
        <f>IFERROR(__xludf.DUMMYFUNCTION("""COMPUTED_VALUE"""),16.0)</f>
        <v>16</v>
      </c>
      <c r="I742" s="12" t="str">
        <f>IFERROR(__xludf.DUMMYFUNCTION("""COMPUTED_VALUE"""),"English, German")</f>
        <v>English, German</v>
      </c>
      <c r="J742" s="12" t="str">
        <f>IFERROR(__xludf.DUMMYFUNCTION("""COMPUTED_VALUE"""),"English, German")</f>
        <v>English, German</v>
      </c>
      <c r="K742" s="13">
        <f>IFERROR(__xludf.DUMMYFUNCTION("""COMPUTED_VALUE"""),43206.0)</f>
        <v>43206</v>
      </c>
      <c r="L742" s="14" t="str">
        <f>IFERROR(__xludf.DUMMYFUNCTION("""COMPUTED_VALUE"""),"https://masterplan.com/courses/okr")</f>
        <v>https://masterplan.com/courses/okr</v>
      </c>
    </row>
    <row r="743">
      <c r="A743" s="15" t="str">
        <f>IFERROR(__xludf.DUMMYFUNCTION("""COMPUTED_VALUE"""),"Überall Gemeinsam: Zusammenarbeit digital")</f>
        <v>Überall Gemeinsam: Zusammenarbeit digital</v>
      </c>
      <c r="B743" s="16" t="str">
        <f>IFERROR(__xludf.DUMMYFUNCTION("""COMPUTED_VALUE"""),"Better Together: Digital Collaboration at Work")</f>
        <v>Better Together: Digital Collaboration at Work</v>
      </c>
      <c r="C743" s="17" t="str">
        <f>IFERROR(__xludf.DUMMYFUNCTION("""COMPUTED_VALUE"""),"Spätestens mit WhatsApp und Co. hat sich unsere Kommunikation stark verändert. Aber welchen Einfluss hat die Digitalisierung eigentlich auf unsere Zusammenarbeit im Berufsalltag? Welche Mythen über digitale Kollaboration gibt es - und wie hängen Schreibma"&amp;"schinen damit zusammen?")</f>
        <v>Spätestens mit WhatsApp und Co. hat sich unsere Kommunikation stark verändert. Aber welchen Einfluss hat die Digitalisierung eigentlich auf unsere Zusammenarbeit im Berufsalltag? Welche Mythen über digitale Kollaboration gibt es - und wie hängen Schreibmaschinen damit zusammen?</v>
      </c>
      <c r="D743" s="17" t="str">
        <f>IFERROR(__xludf.DUMMYFUNCTION("""COMPUTED_VALUE"""),"Lately, with WhatsApp and Co., our communication has changed a lot. But what influence does digitalization actually have on our cooperation in everyday work? What are the myths about digital collaboration - and how do typewriters relate to it?")</f>
        <v>Lately, with WhatsApp and Co., our communication has changed a lot. But what influence does digitalization actually have on our cooperation in everyday work? What are the myths about digital collaboration - and how do typewriters relate to it?</v>
      </c>
      <c r="E743" s="28" t="str">
        <f>IFERROR(__xludf.DUMMYFUNCTION("""COMPUTED_VALUE"""),"Communication")</f>
        <v>Communication</v>
      </c>
      <c r="F743" s="19" t="str">
        <f>IFERROR(__xludf.DUMMYFUNCTION("""COMPUTED_VALUE"""),"Masterplan com GmbH - Hendrik Send")</f>
        <v>Masterplan com GmbH - Hendrik Send</v>
      </c>
      <c r="G743" s="20">
        <f>IFERROR(__xludf.DUMMYFUNCTION("""COMPUTED_VALUE"""),22.0)</f>
        <v>22</v>
      </c>
      <c r="H743" s="20">
        <f>IFERROR(__xludf.DUMMYFUNCTION("""COMPUTED_VALUE"""),18.0)</f>
        <v>18</v>
      </c>
      <c r="I743" s="21" t="str">
        <f>IFERROR(__xludf.DUMMYFUNCTION("""COMPUTED_VALUE"""),"English, German")</f>
        <v>English, German</v>
      </c>
      <c r="J743" s="21" t="str">
        <f>IFERROR(__xludf.DUMMYFUNCTION("""COMPUTED_VALUE"""),"English, German")</f>
        <v>English, German</v>
      </c>
      <c r="K743" s="22">
        <f>IFERROR(__xludf.DUMMYFUNCTION("""COMPUTED_VALUE"""),43206.0)</f>
        <v>43206</v>
      </c>
      <c r="L743" s="23" t="str">
        <f>IFERROR(__xludf.DUMMYFUNCTION("""COMPUTED_VALUE"""),"https://masterplan.com/courses/kollaboration")</f>
        <v>https://masterplan.com/courses/kollaboration</v>
      </c>
    </row>
    <row r="744">
      <c r="A744" s="6" t="str">
        <f>IFERROR(__xludf.DUMMYFUNCTION("""COMPUTED_VALUE"""),"Exponentielle Technologien")</f>
        <v>Exponentielle Technologien</v>
      </c>
      <c r="B744" s="7" t="str">
        <f>IFERROR(__xludf.DUMMYFUNCTION("""COMPUTED_VALUE"""),"Exponential Technologies")</f>
        <v>Exponential Technologies</v>
      </c>
      <c r="C744" s="8" t="str">
        <f>IFERROR(__xludf.DUMMYFUNCTION("""COMPUTED_VALUE"""),"Digitalisierung ist längst fester Teil unseres Lebens, der Geschäftswelt und der Gesellschaft - was macht sie aus? Warum steigt die Veränderungsgeschwindigkeit ständig an? Und warum ist gerade das iPhone ein gutes Beispiel für diese Entwicklung?")</f>
        <v>Digitalisierung ist längst fester Teil unseres Lebens, der Geschäftswelt und der Gesellschaft - was macht sie aus? Warum steigt die Veränderungsgeschwindigkeit ständig an? Und warum ist gerade das iPhone ein gutes Beispiel für diese Entwicklung?</v>
      </c>
      <c r="D744" s="8" t="str">
        <f>IFERROR(__xludf.DUMMYFUNCTION("""COMPUTED_VALUE"""),"digitalization has long been an integral part of our lives, the business world and society - but what exactly is it? Why is the speed of change constantly increasing? And why is the iPhone a good example of this development?")</f>
        <v>digitalization has long been an integral part of our lives, the business world and society - but what exactly is it? Why is the speed of change constantly increasing? And why is the iPhone a good example of this development?</v>
      </c>
      <c r="E744" s="25" t="str">
        <f>IFERROR(__xludf.DUMMYFUNCTION("""COMPUTED_VALUE"""),"Digital Literacy")</f>
        <v>Digital Literacy</v>
      </c>
      <c r="F744" s="10" t="str">
        <f>IFERROR(__xludf.DUMMYFUNCTION("""COMPUTED_VALUE"""),"Masterplan com GmbH - Pascal Finette")</f>
        <v>Masterplan com GmbH - Pascal Finette</v>
      </c>
      <c r="G744" s="11">
        <f>IFERROR(__xludf.DUMMYFUNCTION("""COMPUTED_VALUE"""),41.0)</f>
        <v>41</v>
      </c>
      <c r="H744" s="11">
        <f>IFERROR(__xludf.DUMMYFUNCTION("""COMPUTED_VALUE"""),24.0)</f>
        <v>24</v>
      </c>
      <c r="I744" s="12" t="str">
        <f>IFERROR(__xludf.DUMMYFUNCTION("""COMPUTED_VALUE"""),"English, German")</f>
        <v>English, German</v>
      </c>
      <c r="J744" s="12" t="str">
        <f>IFERROR(__xludf.DUMMYFUNCTION("""COMPUTED_VALUE"""),"English, German")</f>
        <v>English, German</v>
      </c>
      <c r="K744" s="13">
        <f>IFERROR(__xludf.DUMMYFUNCTION("""COMPUTED_VALUE"""),43206.0)</f>
        <v>43206</v>
      </c>
      <c r="L744" s="14" t="str">
        <f>IFERROR(__xludf.DUMMYFUNCTION("""COMPUTED_VALUE"""),"https://masterplan.com/courses/exponentielle-technologien")</f>
        <v>https://masterplan.com/courses/exponentielle-technologien</v>
      </c>
    </row>
    <row r="745">
      <c r="A745" s="15" t="str">
        <f>IFERROR(__xludf.DUMMYFUNCTION("""COMPUTED_VALUE"""),"Irrtümer der Digitalisierung")</f>
        <v>Irrtümer der Digitalisierung</v>
      </c>
      <c r="B745" s="16" t="str">
        <f>IFERROR(__xludf.DUMMYFUNCTION("""COMPUTED_VALUE"""),"Fallacies of Digitalization")</f>
        <v>Fallacies of Digitalization</v>
      </c>
      <c r="C745" s="17" t="str">
        <f>IFERROR(__xludf.DUMMYFUNCTION("""COMPUTED_VALUE"""),"Über die Digitalisierung gibt es mindestens so viele Mythen wie Fakten. Verändert sie wirklich die Gesellschaft? Gefährdet Disruption ausnahmslos alle Branchen? Wird Künstliche Intelligenz die Kreativität abschaffen? Zeit, mit den bekanntesten Irrtümern a"&amp;"ufzuräumen!")</f>
        <v>Über die Digitalisierung gibt es mindestens so viele Mythen wie Fakten. Verändert sie wirklich die Gesellschaft? Gefährdet Disruption ausnahmslos alle Branchen? Wird Künstliche Intelligenz die Kreativität abschaffen? Zeit, mit den bekanntesten Irrtümern aufzuräumen!</v>
      </c>
      <c r="D745" s="17" t="str">
        <f>IFERROR(__xludf.DUMMYFUNCTION("""COMPUTED_VALUE"""),"There are at least as many myths about digitalization as there are facts. Is it really changing society? Does disruption endanger all industries without exception? Will artificial intelligence abolish creativity? Time to clear up the most famous misconcep"&amp;"tions around it!")</f>
        <v>There are at least as many myths about digitalization as there are facts. Is it really changing society? Does disruption endanger all industries without exception? Will artificial intelligence abolish creativity? Time to clear up the most famous misconceptions around it!</v>
      </c>
      <c r="E745" s="25" t="str">
        <f>IFERROR(__xludf.DUMMYFUNCTION("""COMPUTED_VALUE"""),"Digital Literacy")</f>
        <v>Digital Literacy</v>
      </c>
      <c r="F745" s="19" t="str">
        <f>IFERROR(__xludf.DUMMYFUNCTION("""COMPUTED_VALUE"""),"Masterplan com GmbH - Sascha Friesike")</f>
        <v>Masterplan com GmbH - Sascha Friesike</v>
      </c>
      <c r="G745" s="20">
        <f>IFERROR(__xludf.DUMMYFUNCTION("""COMPUTED_VALUE"""),41.0)</f>
        <v>41</v>
      </c>
      <c r="H745" s="20">
        <f>IFERROR(__xludf.DUMMYFUNCTION("""COMPUTED_VALUE"""),22.0)</f>
        <v>22</v>
      </c>
      <c r="I745" s="21" t="str">
        <f>IFERROR(__xludf.DUMMYFUNCTION("""COMPUTED_VALUE"""),"English, German")</f>
        <v>English, German</v>
      </c>
      <c r="J745" s="21" t="str">
        <f>IFERROR(__xludf.DUMMYFUNCTION("""COMPUTED_VALUE"""),"English, German")</f>
        <v>English, German</v>
      </c>
      <c r="K745" s="22">
        <f>IFERROR(__xludf.DUMMYFUNCTION("""COMPUTED_VALUE"""),43206.0)</f>
        <v>43206</v>
      </c>
      <c r="L745" s="23" t="str">
        <f>IFERROR(__xludf.DUMMYFUNCTION("""COMPUTED_VALUE"""),"https://masterplan.com/courses/irrtuemer-digitalisierung")</f>
        <v>https://masterplan.com/courses/irrtuemer-digitalisierung</v>
      </c>
    </row>
    <row r="746" hidden="1">
      <c r="A746" s="6"/>
      <c r="B746" s="7"/>
      <c r="C746" s="8"/>
      <c r="D746" s="8"/>
      <c r="E746" s="32"/>
      <c r="F746" s="10"/>
      <c r="G746" s="11"/>
      <c r="H746" s="11"/>
      <c r="I746" s="12"/>
      <c r="J746" s="12"/>
      <c r="K746" s="13"/>
      <c r="L746" s="14"/>
    </row>
    <row r="747" hidden="1">
      <c r="A747" s="15"/>
      <c r="B747" s="16"/>
      <c r="C747" s="17"/>
      <c r="D747" s="17"/>
      <c r="E747" s="32"/>
      <c r="F747" s="19"/>
      <c r="G747" s="20"/>
      <c r="H747" s="20"/>
      <c r="I747" s="21"/>
      <c r="J747" s="21"/>
      <c r="K747" s="22"/>
      <c r="L747" s="23"/>
    </row>
    <row r="748" hidden="1">
      <c r="A748" s="6"/>
      <c r="B748" s="7"/>
      <c r="C748" s="8"/>
      <c r="D748" s="8"/>
      <c r="E748" s="32"/>
      <c r="F748" s="10"/>
      <c r="G748" s="11"/>
      <c r="H748" s="11"/>
      <c r="I748" s="12"/>
      <c r="J748" s="12"/>
      <c r="K748" s="13"/>
      <c r="L748" s="14"/>
    </row>
    <row r="749" hidden="1">
      <c r="A749" s="15"/>
      <c r="B749" s="16"/>
      <c r="C749" s="17"/>
      <c r="D749" s="17"/>
      <c r="E749" s="32"/>
      <c r="F749" s="19"/>
      <c r="G749" s="20"/>
      <c r="H749" s="20"/>
      <c r="I749" s="21"/>
      <c r="J749" s="21"/>
      <c r="K749" s="22"/>
      <c r="L749" s="23"/>
    </row>
    <row r="750" hidden="1">
      <c r="A750" s="6"/>
      <c r="B750" s="7"/>
      <c r="C750" s="8"/>
      <c r="D750" s="8"/>
      <c r="E750" s="32"/>
      <c r="F750" s="10"/>
      <c r="G750" s="11"/>
      <c r="H750" s="11"/>
      <c r="I750" s="12"/>
      <c r="J750" s="12"/>
      <c r="K750" s="13"/>
      <c r="L750" s="14"/>
    </row>
    <row r="751" hidden="1">
      <c r="A751" s="15"/>
      <c r="B751" s="16"/>
      <c r="C751" s="17"/>
      <c r="D751" s="17"/>
      <c r="E751" s="32"/>
      <c r="F751" s="19"/>
      <c r="G751" s="20"/>
      <c r="H751" s="20"/>
      <c r="I751" s="21"/>
      <c r="J751" s="21"/>
      <c r="K751" s="22"/>
      <c r="L751" s="23"/>
    </row>
    <row r="752" hidden="1">
      <c r="A752" s="6"/>
      <c r="B752" s="7"/>
      <c r="C752" s="8"/>
      <c r="D752" s="8"/>
      <c r="E752" s="32"/>
      <c r="F752" s="10"/>
      <c r="G752" s="11"/>
      <c r="H752" s="11"/>
      <c r="I752" s="12"/>
      <c r="J752" s="12"/>
      <c r="K752" s="13"/>
      <c r="L752" s="14"/>
    </row>
    <row r="753" hidden="1">
      <c r="A753" s="15"/>
      <c r="B753" s="16"/>
      <c r="C753" s="17"/>
      <c r="D753" s="17"/>
      <c r="E753" s="32"/>
      <c r="F753" s="19"/>
      <c r="G753" s="20"/>
      <c r="H753" s="20"/>
      <c r="I753" s="21"/>
      <c r="J753" s="21"/>
      <c r="K753" s="22"/>
      <c r="L753" s="23"/>
    </row>
    <row r="754" hidden="1">
      <c r="A754" s="6"/>
      <c r="B754" s="7"/>
      <c r="C754" s="8"/>
      <c r="D754" s="8"/>
      <c r="E754" s="32"/>
      <c r="F754" s="10"/>
      <c r="G754" s="11"/>
      <c r="H754" s="11"/>
      <c r="I754" s="12"/>
      <c r="J754" s="12"/>
      <c r="K754" s="13"/>
      <c r="L754" s="14"/>
    </row>
    <row r="755" hidden="1">
      <c r="A755" s="15"/>
      <c r="B755" s="16"/>
      <c r="C755" s="17"/>
      <c r="D755" s="17"/>
      <c r="E755" s="32"/>
      <c r="F755" s="19"/>
      <c r="G755" s="20"/>
      <c r="H755" s="20"/>
      <c r="I755" s="21"/>
      <c r="J755" s="21"/>
      <c r="K755" s="22"/>
      <c r="L755" s="23"/>
    </row>
    <row r="756" hidden="1">
      <c r="A756" s="6"/>
      <c r="B756" s="7"/>
      <c r="C756" s="8"/>
      <c r="D756" s="8"/>
      <c r="E756" s="32"/>
      <c r="F756" s="10"/>
      <c r="G756" s="11"/>
      <c r="H756" s="11"/>
      <c r="I756" s="12"/>
      <c r="J756" s="12"/>
      <c r="K756" s="13"/>
      <c r="L756" s="14"/>
    </row>
    <row r="757" hidden="1">
      <c r="A757" s="15"/>
      <c r="B757" s="16"/>
      <c r="C757" s="17"/>
      <c r="D757" s="17"/>
      <c r="E757" s="32"/>
      <c r="F757" s="19"/>
      <c r="G757" s="20"/>
      <c r="H757" s="20"/>
      <c r="I757" s="21"/>
      <c r="J757" s="21"/>
      <c r="K757" s="22"/>
      <c r="L757" s="23"/>
    </row>
    <row r="758" hidden="1">
      <c r="A758" s="6"/>
      <c r="B758" s="7"/>
      <c r="C758" s="8"/>
      <c r="D758" s="8"/>
      <c r="E758" s="32"/>
      <c r="F758" s="10"/>
      <c r="G758" s="11"/>
      <c r="H758" s="11"/>
      <c r="I758" s="12"/>
      <c r="J758" s="12"/>
      <c r="K758" s="13"/>
      <c r="L758" s="14"/>
    </row>
    <row r="759" hidden="1">
      <c r="A759" s="15"/>
      <c r="B759" s="16"/>
      <c r="C759" s="17"/>
      <c r="D759" s="17"/>
      <c r="E759" s="32"/>
      <c r="F759" s="19"/>
      <c r="G759" s="20"/>
      <c r="H759" s="20"/>
      <c r="I759" s="21"/>
      <c r="J759" s="21"/>
      <c r="K759" s="22"/>
      <c r="L759" s="23"/>
    </row>
    <row r="760" hidden="1">
      <c r="A760" s="6"/>
      <c r="B760" s="7"/>
      <c r="C760" s="8"/>
      <c r="D760" s="8"/>
      <c r="E760" s="32"/>
      <c r="F760" s="10"/>
      <c r="G760" s="11"/>
      <c r="H760" s="11"/>
      <c r="I760" s="12"/>
      <c r="J760" s="12"/>
      <c r="K760" s="13"/>
      <c r="L760" s="14"/>
    </row>
    <row r="761" hidden="1">
      <c r="A761" s="15"/>
      <c r="B761" s="16"/>
      <c r="C761" s="17"/>
      <c r="D761" s="17"/>
      <c r="E761" s="32"/>
      <c r="F761" s="19"/>
      <c r="G761" s="20"/>
      <c r="H761" s="20"/>
      <c r="I761" s="21"/>
      <c r="J761" s="21"/>
      <c r="K761" s="22"/>
      <c r="L761" s="23"/>
    </row>
    <row r="762" hidden="1">
      <c r="A762" s="6"/>
      <c r="B762" s="7"/>
      <c r="C762" s="8"/>
      <c r="D762" s="8"/>
      <c r="E762" s="32"/>
      <c r="F762" s="10"/>
      <c r="G762" s="11"/>
      <c r="H762" s="11"/>
      <c r="I762" s="12"/>
      <c r="J762" s="12"/>
      <c r="K762" s="13"/>
      <c r="L762" s="14"/>
    </row>
    <row r="763" hidden="1">
      <c r="A763" s="15"/>
      <c r="B763" s="16"/>
      <c r="C763" s="17"/>
      <c r="D763" s="17"/>
      <c r="E763" s="32"/>
      <c r="F763" s="19"/>
      <c r="G763" s="20"/>
      <c r="H763" s="20"/>
      <c r="I763" s="21"/>
      <c r="J763" s="21"/>
      <c r="K763" s="22"/>
      <c r="L763" s="23"/>
    </row>
    <row r="764" hidden="1">
      <c r="A764" s="6"/>
      <c r="B764" s="7"/>
      <c r="C764" s="8"/>
      <c r="D764" s="8"/>
      <c r="E764" s="32"/>
      <c r="F764" s="10"/>
      <c r="G764" s="11"/>
      <c r="H764" s="11"/>
      <c r="I764" s="12"/>
      <c r="J764" s="12"/>
      <c r="K764" s="13"/>
      <c r="L764" s="14"/>
    </row>
    <row r="765" hidden="1">
      <c r="A765" s="15"/>
      <c r="B765" s="16"/>
      <c r="C765" s="17"/>
      <c r="D765" s="17"/>
      <c r="E765" s="32"/>
      <c r="F765" s="19"/>
      <c r="G765" s="20"/>
      <c r="H765" s="20"/>
      <c r="I765" s="21"/>
      <c r="J765" s="21"/>
      <c r="K765" s="22"/>
      <c r="L765" s="23"/>
    </row>
    <row r="766" hidden="1">
      <c r="A766" s="6"/>
      <c r="B766" s="7"/>
      <c r="C766" s="8"/>
      <c r="D766" s="8"/>
      <c r="E766" s="32"/>
      <c r="F766" s="10"/>
      <c r="G766" s="11"/>
      <c r="H766" s="11"/>
      <c r="I766" s="12"/>
      <c r="J766" s="12"/>
      <c r="K766" s="13"/>
      <c r="L766" s="14"/>
    </row>
    <row r="767" hidden="1">
      <c r="A767" s="15"/>
      <c r="B767" s="16"/>
      <c r="C767" s="17"/>
      <c r="D767" s="17"/>
      <c r="E767" s="32"/>
      <c r="F767" s="19"/>
      <c r="G767" s="20"/>
      <c r="H767" s="20"/>
      <c r="I767" s="21"/>
      <c r="J767" s="21"/>
      <c r="K767" s="22"/>
      <c r="L767" s="23"/>
    </row>
    <row r="768" hidden="1">
      <c r="A768" s="6"/>
      <c r="B768" s="7"/>
      <c r="C768" s="8"/>
      <c r="D768" s="8"/>
      <c r="E768" s="32"/>
      <c r="F768" s="10"/>
      <c r="G768" s="11"/>
      <c r="H768" s="11"/>
      <c r="I768" s="12"/>
      <c r="J768" s="12"/>
      <c r="K768" s="13"/>
      <c r="L768" s="14"/>
    </row>
    <row r="769" hidden="1">
      <c r="A769" s="15"/>
      <c r="B769" s="16"/>
      <c r="C769" s="17"/>
      <c r="D769" s="17"/>
      <c r="E769" s="32"/>
      <c r="F769" s="19"/>
      <c r="G769" s="20"/>
      <c r="H769" s="20"/>
      <c r="I769" s="21"/>
      <c r="J769" s="21"/>
      <c r="K769" s="22"/>
      <c r="L769" s="23"/>
    </row>
    <row r="770" hidden="1">
      <c r="A770" s="6"/>
      <c r="B770" s="7"/>
      <c r="C770" s="8"/>
      <c r="D770" s="8"/>
      <c r="E770" s="32"/>
      <c r="F770" s="10"/>
      <c r="G770" s="11"/>
      <c r="H770" s="11"/>
      <c r="I770" s="12"/>
      <c r="J770" s="12"/>
      <c r="K770" s="13"/>
      <c r="L770" s="14"/>
    </row>
    <row r="771" hidden="1">
      <c r="A771" s="15"/>
      <c r="B771" s="16"/>
      <c r="C771" s="17"/>
      <c r="D771" s="17"/>
      <c r="E771" s="32"/>
      <c r="F771" s="19"/>
      <c r="G771" s="20"/>
      <c r="H771" s="20"/>
      <c r="I771" s="21"/>
      <c r="J771" s="21"/>
      <c r="K771" s="22"/>
      <c r="L771" s="23"/>
    </row>
    <row r="772" hidden="1">
      <c r="A772" s="6"/>
      <c r="B772" s="7"/>
      <c r="C772" s="8"/>
      <c r="D772" s="8"/>
      <c r="E772" s="32"/>
      <c r="F772" s="10"/>
      <c r="G772" s="11"/>
      <c r="H772" s="11"/>
      <c r="I772" s="12"/>
      <c r="J772" s="12"/>
      <c r="K772" s="13"/>
      <c r="L772" s="14"/>
    </row>
    <row r="773" hidden="1">
      <c r="A773" s="15"/>
      <c r="B773" s="16"/>
      <c r="C773" s="17"/>
      <c r="D773" s="17"/>
      <c r="E773" s="32"/>
      <c r="F773" s="19"/>
      <c r="G773" s="20"/>
      <c r="H773" s="20"/>
      <c r="I773" s="21"/>
      <c r="J773" s="21"/>
      <c r="K773" s="22"/>
      <c r="L773" s="23"/>
    </row>
    <row r="774" hidden="1">
      <c r="A774" s="6"/>
      <c r="B774" s="7"/>
      <c r="C774" s="8"/>
      <c r="D774" s="8"/>
      <c r="E774" s="32"/>
      <c r="F774" s="10"/>
      <c r="G774" s="11"/>
      <c r="H774" s="11"/>
      <c r="I774" s="12"/>
      <c r="J774" s="12"/>
      <c r="K774" s="13"/>
      <c r="L774" s="14"/>
    </row>
    <row r="775" hidden="1">
      <c r="A775" s="15"/>
      <c r="B775" s="16"/>
      <c r="C775" s="17"/>
      <c r="D775" s="17"/>
      <c r="E775" s="32"/>
      <c r="F775" s="19"/>
      <c r="G775" s="20"/>
      <c r="H775" s="20"/>
      <c r="I775" s="21"/>
      <c r="J775" s="21"/>
      <c r="K775" s="22"/>
      <c r="L775" s="23"/>
    </row>
    <row r="776" hidden="1">
      <c r="A776" s="6"/>
      <c r="B776" s="7"/>
      <c r="C776" s="8"/>
      <c r="D776" s="8"/>
      <c r="E776" s="32"/>
      <c r="F776" s="10"/>
      <c r="G776" s="11"/>
      <c r="H776" s="11"/>
      <c r="I776" s="12"/>
      <c r="J776" s="12"/>
      <c r="K776" s="13"/>
      <c r="L776" s="14"/>
    </row>
    <row r="777" hidden="1">
      <c r="A777" s="15"/>
      <c r="B777" s="16"/>
      <c r="C777" s="17"/>
      <c r="D777" s="17"/>
      <c r="E777" s="32"/>
      <c r="F777" s="19"/>
      <c r="G777" s="20"/>
      <c r="H777" s="20"/>
      <c r="I777" s="21"/>
      <c r="J777" s="21"/>
      <c r="K777" s="22"/>
      <c r="L777" s="23"/>
    </row>
    <row r="778" hidden="1">
      <c r="A778" s="6"/>
      <c r="B778" s="7"/>
      <c r="C778" s="8"/>
      <c r="D778" s="8"/>
      <c r="E778" s="32"/>
      <c r="F778" s="10"/>
      <c r="G778" s="11"/>
      <c r="H778" s="11"/>
      <c r="I778" s="12"/>
      <c r="J778" s="12"/>
      <c r="K778" s="13"/>
      <c r="L778" s="14"/>
    </row>
    <row r="779" hidden="1">
      <c r="A779" s="15"/>
      <c r="B779" s="16"/>
      <c r="C779" s="17"/>
      <c r="D779" s="17"/>
      <c r="E779" s="32"/>
      <c r="F779" s="19"/>
      <c r="G779" s="20"/>
      <c r="H779" s="20"/>
      <c r="I779" s="21"/>
      <c r="J779" s="21"/>
      <c r="K779" s="22"/>
      <c r="L779" s="23"/>
    </row>
    <row r="780" hidden="1">
      <c r="A780" s="6"/>
      <c r="B780" s="7"/>
      <c r="C780" s="8"/>
      <c r="D780" s="8"/>
      <c r="E780" s="32"/>
      <c r="F780" s="10"/>
      <c r="G780" s="11"/>
      <c r="H780" s="11"/>
      <c r="I780" s="12"/>
      <c r="J780" s="12"/>
      <c r="K780" s="13"/>
      <c r="L780" s="14"/>
    </row>
    <row r="781" hidden="1">
      <c r="A781" s="15"/>
      <c r="B781" s="16"/>
      <c r="C781" s="17"/>
      <c r="D781" s="17"/>
      <c r="E781" s="32"/>
      <c r="F781" s="19"/>
      <c r="G781" s="20"/>
      <c r="H781" s="20"/>
      <c r="I781" s="21"/>
      <c r="J781" s="21"/>
      <c r="K781" s="22"/>
      <c r="L781" s="23"/>
    </row>
    <row r="782" hidden="1">
      <c r="A782" s="6"/>
      <c r="B782" s="7"/>
      <c r="C782" s="8"/>
      <c r="D782" s="8"/>
      <c r="E782" s="32"/>
      <c r="F782" s="10"/>
      <c r="G782" s="11"/>
      <c r="H782" s="11"/>
      <c r="I782" s="12"/>
      <c r="J782" s="12"/>
      <c r="K782" s="13"/>
      <c r="L782" s="14"/>
    </row>
    <row r="783" hidden="1">
      <c r="A783" s="15"/>
      <c r="B783" s="16"/>
      <c r="C783" s="17"/>
      <c r="D783" s="17"/>
      <c r="E783" s="32"/>
      <c r="F783" s="19"/>
      <c r="G783" s="20"/>
      <c r="H783" s="20"/>
      <c r="I783" s="21"/>
      <c r="J783" s="21"/>
      <c r="K783" s="22"/>
      <c r="L783" s="23"/>
    </row>
    <row r="784" hidden="1">
      <c r="A784" s="6"/>
      <c r="B784" s="7"/>
      <c r="C784" s="8"/>
      <c r="D784" s="8"/>
      <c r="E784" s="32"/>
      <c r="F784" s="10"/>
      <c r="G784" s="11"/>
      <c r="H784" s="11"/>
      <c r="I784" s="12"/>
      <c r="J784" s="12"/>
      <c r="K784" s="13"/>
      <c r="L784" s="14"/>
    </row>
    <row r="785" hidden="1">
      <c r="A785" s="15"/>
      <c r="B785" s="16"/>
      <c r="C785" s="17"/>
      <c r="D785" s="17"/>
      <c r="E785" s="32"/>
      <c r="F785" s="19"/>
      <c r="G785" s="20"/>
      <c r="H785" s="20"/>
      <c r="I785" s="21"/>
      <c r="J785" s="21"/>
      <c r="K785" s="22"/>
      <c r="L785" s="23"/>
    </row>
    <row r="786" hidden="1">
      <c r="A786" s="6"/>
      <c r="B786" s="7"/>
      <c r="C786" s="8"/>
      <c r="D786" s="8"/>
      <c r="E786" s="32"/>
      <c r="F786" s="10"/>
      <c r="G786" s="11"/>
      <c r="H786" s="11"/>
      <c r="I786" s="12"/>
      <c r="J786" s="12"/>
      <c r="K786" s="13"/>
      <c r="L786" s="14"/>
    </row>
    <row r="787" hidden="1">
      <c r="A787" s="15"/>
      <c r="B787" s="16"/>
      <c r="C787" s="17"/>
      <c r="D787" s="17"/>
      <c r="E787" s="32"/>
      <c r="F787" s="19"/>
      <c r="G787" s="20"/>
      <c r="H787" s="20"/>
      <c r="I787" s="21"/>
      <c r="J787" s="21"/>
      <c r="K787" s="22"/>
      <c r="L787" s="23"/>
    </row>
    <row r="788" hidden="1">
      <c r="A788" s="6"/>
      <c r="B788" s="7"/>
      <c r="C788" s="8"/>
      <c r="D788" s="8"/>
      <c r="E788" s="32"/>
      <c r="F788" s="10"/>
      <c r="G788" s="11"/>
      <c r="H788" s="11"/>
      <c r="I788" s="12"/>
      <c r="J788" s="12"/>
      <c r="K788" s="13"/>
      <c r="L788" s="14"/>
    </row>
    <row r="789" hidden="1">
      <c r="A789" s="15"/>
      <c r="B789" s="16"/>
      <c r="C789" s="17"/>
      <c r="D789" s="17"/>
      <c r="E789" s="32"/>
      <c r="F789" s="19"/>
      <c r="G789" s="20"/>
      <c r="H789" s="20"/>
      <c r="I789" s="21"/>
      <c r="J789" s="21"/>
      <c r="K789" s="22"/>
      <c r="L789" s="23"/>
    </row>
    <row r="790" hidden="1">
      <c r="A790" s="6"/>
      <c r="B790" s="7"/>
      <c r="C790" s="8"/>
      <c r="D790" s="8"/>
      <c r="E790" s="32"/>
      <c r="F790" s="10"/>
      <c r="G790" s="11"/>
      <c r="H790" s="11"/>
      <c r="I790" s="12"/>
      <c r="J790" s="12"/>
      <c r="K790" s="13"/>
      <c r="L790" s="14"/>
    </row>
    <row r="791" hidden="1">
      <c r="A791" s="15"/>
      <c r="B791" s="16"/>
      <c r="C791" s="17"/>
      <c r="D791" s="17"/>
      <c r="E791" s="32"/>
      <c r="F791" s="19"/>
      <c r="G791" s="20"/>
      <c r="H791" s="20"/>
      <c r="I791" s="21"/>
      <c r="J791" s="21"/>
      <c r="K791" s="22"/>
      <c r="L791" s="23"/>
    </row>
    <row r="792" hidden="1">
      <c r="A792" s="6"/>
      <c r="B792" s="7"/>
      <c r="C792" s="8"/>
      <c r="D792" s="8"/>
      <c r="E792" s="32"/>
      <c r="F792" s="10"/>
      <c r="G792" s="11"/>
      <c r="H792" s="11"/>
      <c r="I792" s="12"/>
      <c r="J792" s="12"/>
      <c r="K792" s="13"/>
      <c r="L792" s="14"/>
    </row>
    <row r="793" hidden="1">
      <c r="A793" s="15"/>
      <c r="B793" s="16"/>
      <c r="C793" s="17"/>
      <c r="D793" s="17"/>
      <c r="E793" s="32"/>
      <c r="F793" s="19"/>
      <c r="G793" s="20"/>
      <c r="H793" s="20"/>
      <c r="I793" s="21"/>
      <c r="J793" s="21"/>
      <c r="K793" s="22"/>
      <c r="L793" s="23"/>
    </row>
    <row r="794" hidden="1">
      <c r="A794" s="6"/>
      <c r="B794" s="7"/>
      <c r="C794" s="8"/>
      <c r="D794" s="8"/>
      <c r="E794" s="32"/>
      <c r="F794" s="10"/>
      <c r="G794" s="11"/>
      <c r="H794" s="11"/>
      <c r="I794" s="12"/>
      <c r="J794" s="12"/>
      <c r="K794" s="13"/>
      <c r="L794" s="14"/>
    </row>
    <row r="795" hidden="1">
      <c r="A795" s="15"/>
      <c r="B795" s="16"/>
      <c r="C795" s="17"/>
      <c r="D795" s="17"/>
      <c r="E795" s="32"/>
      <c r="F795" s="19"/>
      <c r="G795" s="20"/>
      <c r="H795" s="20"/>
      <c r="I795" s="21"/>
      <c r="J795" s="21"/>
      <c r="K795" s="22"/>
      <c r="L795" s="23"/>
    </row>
    <row r="796" hidden="1">
      <c r="A796" s="6"/>
      <c r="B796" s="7"/>
      <c r="C796" s="8"/>
      <c r="D796" s="8"/>
      <c r="E796" s="32"/>
      <c r="F796" s="10"/>
      <c r="G796" s="11"/>
      <c r="H796" s="11"/>
      <c r="I796" s="12"/>
      <c r="J796" s="12"/>
      <c r="K796" s="13"/>
      <c r="L796" s="14"/>
    </row>
    <row r="797" hidden="1">
      <c r="A797" s="15"/>
      <c r="B797" s="16"/>
      <c r="C797" s="17"/>
      <c r="D797" s="17"/>
      <c r="E797" s="32"/>
      <c r="F797" s="19"/>
      <c r="G797" s="20"/>
      <c r="H797" s="20"/>
      <c r="I797" s="21"/>
      <c r="J797" s="21"/>
      <c r="K797" s="22"/>
      <c r="L797" s="23"/>
    </row>
    <row r="798" hidden="1">
      <c r="A798" s="6"/>
      <c r="B798" s="7"/>
      <c r="C798" s="8"/>
      <c r="D798" s="8"/>
      <c r="E798" s="32"/>
      <c r="F798" s="10"/>
      <c r="G798" s="11"/>
      <c r="H798" s="11"/>
      <c r="I798" s="12"/>
      <c r="J798" s="12"/>
      <c r="K798" s="13"/>
      <c r="L798" s="14"/>
    </row>
    <row r="799" hidden="1">
      <c r="A799" s="15"/>
      <c r="B799" s="16"/>
      <c r="C799" s="17"/>
      <c r="D799" s="17"/>
      <c r="E799" s="32"/>
      <c r="F799" s="19"/>
      <c r="G799" s="20"/>
      <c r="H799" s="20"/>
      <c r="I799" s="21"/>
      <c r="J799" s="21"/>
      <c r="K799" s="22"/>
      <c r="L799" s="23"/>
    </row>
    <row r="800" hidden="1">
      <c r="A800" s="6"/>
      <c r="B800" s="7"/>
      <c r="C800" s="8"/>
      <c r="D800" s="8"/>
      <c r="E800" s="32"/>
      <c r="F800" s="10"/>
      <c r="G800" s="11"/>
      <c r="H800" s="11"/>
      <c r="I800" s="12"/>
      <c r="J800" s="12"/>
      <c r="K800" s="13"/>
      <c r="L800" s="14"/>
    </row>
    <row r="801" hidden="1">
      <c r="A801" s="15"/>
      <c r="B801" s="16"/>
      <c r="C801" s="17"/>
      <c r="D801" s="17"/>
      <c r="E801" s="32"/>
      <c r="F801" s="19"/>
      <c r="G801" s="20"/>
      <c r="H801" s="20"/>
      <c r="I801" s="21"/>
      <c r="J801" s="21"/>
      <c r="K801" s="22"/>
      <c r="L801" s="23"/>
    </row>
    <row r="802" hidden="1">
      <c r="A802" s="6"/>
      <c r="B802" s="7"/>
      <c r="C802" s="8"/>
      <c r="D802" s="8"/>
      <c r="E802" s="32"/>
      <c r="F802" s="10"/>
      <c r="G802" s="11"/>
      <c r="H802" s="11"/>
      <c r="I802" s="12"/>
      <c r="J802" s="12"/>
      <c r="K802" s="13"/>
      <c r="L802" s="14"/>
    </row>
    <row r="803" hidden="1">
      <c r="A803" s="15"/>
      <c r="B803" s="16"/>
      <c r="C803" s="17"/>
      <c r="D803" s="17"/>
      <c r="E803" s="32"/>
      <c r="F803" s="19"/>
      <c r="G803" s="20"/>
      <c r="H803" s="20"/>
      <c r="I803" s="21"/>
      <c r="J803" s="21"/>
      <c r="K803" s="22"/>
      <c r="L803" s="23"/>
    </row>
    <row r="804" hidden="1">
      <c r="A804" s="6"/>
      <c r="B804" s="7"/>
      <c r="C804" s="8"/>
      <c r="D804" s="8"/>
      <c r="E804" s="32"/>
      <c r="F804" s="10"/>
      <c r="G804" s="11"/>
      <c r="H804" s="11"/>
      <c r="I804" s="12"/>
      <c r="J804" s="12"/>
      <c r="K804" s="13"/>
      <c r="L804" s="14"/>
    </row>
    <row r="805" hidden="1">
      <c r="A805" s="15"/>
      <c r="B805" s="16"/>
      <c r="C805" s="17"/>
      <c r="D805" s="17"/>
      <c r="E805" s="32"/>
      <c r="F805" s="19"/>
      <c r="G805" s="20"/>
      <c r="H805" s="20"/>
      <c r="I805" s="21"/>
      <c r="J805" s="21"/>
      <c r="K805" s="22"/>
      <c r="L805" s="23"/>
    </row>
    <row r="806" hidden="1">
      <c r="A806" s="6"/>
      <c r="B806" s="7"/>
      <c r="C806" s="8"/>
      <c r="D806" s="8"/>
      <c r="E806" s="32"/>
      <c r="F806" s="10"/>
      <c r="G806" s="11"/>
      <c r="H806" s="11"/>
      <c r="I806" s="12"/>
      <c r="J806" s="12"/>
      <c r="K806" s="13"/>
      <c r="L806" s="14"/>
    </row>
    <row r="807" hidden="1">
      <c r="A807" s="15"/>
      <c r="B807" s="16"/>
      <c r="C807" s="17"/>
      <c r="D807" s="17"/>
      <c r="E807" s="32"/>
      <c r="F807" s="19"/>
      <c r="G807" s="20"/>
      <c r="H807" s="20"/>
      <c r="I807" s="21"/>
      <c r="J807" s="21"/>
      <c r="K807" s="22"/>
      <c r="L807" s="23"/>
    </row>
    <row r="808" hidden="1">
      <c r="A808" s="6"/>
      <c r="B808" s="7"/>
      <c r="C808" s="8"/>
      <c r="D808" s="8"/>
      <c r="E808" s="32"/>
      <c r="F808" s="10"/>
      <c r="G808" s="11"/>
      <c r="H808" s="11"/>
      <c r="I808" s="12"/>
      <c r="J808" s="12"/>
      <c r="K808" s="13"/>
      <c r="L808" s="14"/>
    </row>
    <row r="809" hidden="1">
      <c r="A809" s="15"/>
      <c r="B809" s="16"/>
      <c r="C809" s="17"/>
      <c r="D809" s="17"/>
      <c r="E809" s="32"/>
      <c r="F809" s="19"/>
      <c r="G809" s="20"/>
      <c r="H809" s="20"/>
      <c r="I809" s="21"/>
      <c r="J809" s="21"/>
      <c r="K809" s="22"/>
      <c r="L809" s="23"/>
    </row>
    <row r="810" hidden="1">
      <c r="A810" s="6"/>
      <c r="B810" s="7"/>
      <c r="C810" s="8"/>
      <c r="D810" s="8"/>
      <c r="E810" s="32"/>
      <c r="F810" s="10"/>
      <c r="G810" s="11"/>
      <c r="H810" s="11"/>
      <c r="I810" s="12"/>
      <c r="J810" s="12"/>
      <c r="K810" s="13"/>
      <c r="L810" s="14"/>
    </row>
    <row r="811" hidden="1">
      <c r="A811" s="15"/>
      <c r="B811" s="16"/>
      <c r="C811" s="17"/>
      <c r="D811" s="17"/>
      <c r="E811" s="32"/>
      <c r="F811" s="19"/>
      <c r="G811" s="20"/>
      <c r="H811" s="20"/>
      <c r="I811" s="21"/>
      <c r="J811" s="21"/>
      <c r="K811" s="22"/>
      <c r="L811" s="23"/>
    </row>
    <row r="812" hidden="1">
      <c r="A812" s="6"/>
      <c r="B812" s="7"/>
      <c r="C812" s="8"/>
      <c r="D812" s="8"/>
      <c r="E812" s="32"/>
      <c r="F812" s="10"/>
      <c r="G812" s="11"/>
      <c r="H812" s="11"/>
      <c r="I812" s="12"/>
      <c r="J812" s="12"/>
      <c r="K812" s="13"/>
      <c r="L812" s="14"/>
    </row>
    <row r="813" hidden="1">
      <c r="A813" s="15"/>
      <c r="B813" s="16"/>
      <c r="C813" s="17"/>
      <c r="D813" s="17"/>
      <c r="E813" s="32"/>
      <c r="F813" s="19"/>
      <c r="G813" s="20"/>
      <c r="H813" s="20"/>
      <c r="I813" s="21"/>
      <c r="J813" s="21"/>
      <c r="K813" s="22"/>
      <c r="L813" s="23"/>
    </row>
    <row r="814" hidden="1">
      <c r="A814" s="6"/>
      <c r="B814" s="7"/>
      <c r="C814" s="8"/>
      <c r="D814" s="8"/>
      <c r="E814" s="32"/>
      <c r="F814" s="10"/>
      <c r="G814" s="11"/>
      <c r="H814" s="11"/>
      <c r="I814" s="12"/>
      <c r="J814" s="12"/>
      <c r="K814" s="13"/>
      <c r="L814" s="14"/>
    </row>
    <row r="815" hidden="1">
      <c r="A815" s="15"/>
      <c r="B815" s="16"/>
      <c r="C815" s="17"/>
      <c r="D815" s="17"/>
      <c r="E815" s="32"/>
      <c r="F815" s="19"/>
      <c r="G815" s="20"/>
      <c r="H815" s="20"/>
      <c r="I815" s="21"/>
      <c r="J815" s="21"/>
      <c r="K815" s="22"/>
      <c r="L815" s="23"/>
    </row>
    <row r="816" hidden="1">
      <c r="A816" s="6"/>
      <c r="B816" s="7"/>
      <c r="C816" s="8"/>
      <c r="D816" s="8"/>
      <c r="E816" s="32"/>
      <c r="F816" s="10"/>
      <c r="G816" s="11"/>
      <c r="H816" s="11"/>
      <c r="I816" s="12"/>
      <c r="J816" s="12"/>
      <c r="K816" s="13"/>
      <c r="L816" s="14"/>
    </row>
    <row r="817" hidden="1">
      <c r="A817" s="15"/>
      <c r="B817" s="16"/>
      <c r="C817" s="17"/>
      <c r="D817" s="17"/>
      <c r="E817" s="32"/>
      <c r="F817" s="19"/>
      <c r="G817" s="20"/>
      <c r="H817" s="20"/>
      <c r="I817" s="21"/>
      <c r="J817" s="21"/>
      <c r="K817" s="22"/>
      <c r="L817" s="23"/>
    </row>
    <row r="818" hidden="1">
      <c r="A818" s="6"/>
      <c r="B818" s="7"/>
      <c r="C818" s="8"/>
      <c r="D818" s="8"/>
      <c r="E818" s="32"/>
      <c r="F818" s="10"/>
      <c r="G818" s="11"/>
      <c r="H818" s="11"/>
      <c r="I818" s="12"/>
      <c r="J818" s="12"/>
      <c r="K818" s="13"/>
      <c r="L818" s="14"/>
    </row>
    <row r="819" hidden="1">
      <c r="A819" s="15"/>
      <c r="B819" s="16"/>
      <c r="C819" s="17"/>
      <c r="D819" s="17"/>
      <c r="E819" s="32"/>
      <c r="F819" s="19"/>
      <c r="G819" s="20"/>
      <c r="H819" s="20"/>
      <c r="I819" s="21"/>
      <c r="J819" s="21"/>
      <c r="K819" s="22"/>
      <c r="L819" s="23"/>
    </row>
    <row r="820" hidden="1">
      <c r="A820" s="6"/>
      <c r="B820" s="7"/>
      <c r="C820" s="8"/>
      <c r="D820" s="8"/>
      <c r="E820" s="32"/>
      <c r="F820" s="10"/>
      <c r="G820" s="11"/>
      <c r="H820" s="11"/>
      <c r="I820" s="12"/>
      <c r="J820" s="12"/>
      <c r="K820" s="13"/>
      <c r="L820" s="14"/>
    </row>
    <row r="821" hidden="1">
      <c r="A821" s="15"/>
      <c r="B821" s="16"/>
      <c r="C821" s="17"/>
      <c r="D821" s="17"/>
      <c r="E821" s="32"/>
      <c r="F821" s="19"/>
      <c r="G821" s="20"/>
      <c r="H821" s="20"/>
      <c r="I821" s="21"/>
      <c r="J821" s="21"/>
      <c r="K821" s="22"/>
      <c r="L821" s="23"/>
    </row>
    <row r="822" hidden="1">
      <c r="A822" s="6"/>
      <c r="B822" s="7"/>
      <c r="C822" s="8"/>
      <c r="D822" s="8"/>
      <c r="E822" s="32"/>
      <c r="F822" s="10"/>
      <c r="G822" s="11"/>
      <c r="H822" s="11"/>
      <c r="I822" s="12"/>
      <c r="J822" s="12"/>
      <c r="K822" s="13"/>
      <c r="L822" s="14"/>
    </row>
    <row r="823" hidden="1">
      <c r="A823" s="15"/>
      <c r="B823" s="16"/>
      <c r="C823" s="17"/>
      <c r="D823" s="17"/>
      <c r="E823" s="32"/>
      <c r="F823" s="19"/>
      <c r="G823" s="20"/>
      <c r="H823" s="20"/>
      <c r="I823" s="21"/>
      <c r="J823" s="21"/>
      <c r="K823" s="22"/>
      <c r="L823" s="23"/>
    </row>
    <row r="824" hidden="1">
      <c r="A824" s="6"/>
      <c r="B824" s="7"/>
      <c r="C824" s="8"/>
      <c r="D824" s="8"/>
      <c r="E824" s="32"/>
      <c r="F824" s="10"/>
      <c r="G824" s="11"/>
      <c r="H824" s="11"/>
      <c r="I824" s="12"/>
      <c r="J824" s="12"/>
      <c r="K824" s="13"/>
      <c r="L824" s="14"/>
    </row>
    <row r="825" hidden="1">
      <c r="A825" s="15"/>
      <c r="B825" s="16"/>
      <c r="C825" s="17"/>
      <c r="D825" s="17"/>
      <c r="E825" s="32"/>
      <c r="F825" s="19"/>
      <c r="G825" s="20"/>
      <c r="H825" s="20"/>
      <c r="I825" s="21"/>
      <c r="J825" s="21"/>
      <c r="K825" s="22"/>
      <c r="L825" s="23"/>
    </row>
    <row r="826" hidden="1">
      <c r="A826" s="6"/>
      <c r="B826" s="7"/>
      <c r="C826" s="8"/>
      <c r="D826" s="8"/>
      <c r="E826" s="32"/>
      <c r="F826" s="10"/>
      <c r="G826" s="11"/>
      <c r="H826" s="11"/>
      <c r="I826" s="12"/>
      <c r="J826" s="12"/>
      <c r="K826" s="13"/>
      <c r="L826" s="14"/>
    </row>
    <row r="827" hidden="1">
      <c r="A827" s="15"/>
      <c r="B827" s="16"/>
      <c r="C827" s="17"/>
      <c r="D827" s="17"/>
      <c r="E827" s="32"/>
      <c r="F827" s="19"/>
      <c r="G827" s="20"/>
      <c r="H827" s="20"/>
      <c r="I827" s="21"/>
      <c r="J827" s="21"/>
      <c r="K827" s="22"/>
      <c r="L827" s="23"/>
    </row>
    <row r="828" hidden="1">
      <c r="A828" s="6"/>
      <c r="B828" s="7"/>
      <c r="C828" s="8"/>
      <c r="D828" s="8"/>
      <c r="E828" s="32"/>
      <c r="F828" s="10"/>
      <c r="G828" s="11"/>
      <c r="H828" s="11"/>
      <c r="I828" s="12"/>
      <c r="J828" s="12"/>
      <c r="K828" s="13"/>
      <c r="L828" s="14"/>
    </row>
    <row r="829" hidden="1">
      <c r="A829" s="15"/>
      <c r="B829" s="16"/>
      <c r="C829" s="17"/>
      <c r="D829" s="17"/>
      <c r="E829" s="32"/>
      <c r="F829" s="19"/>
      <c r="G829" s="20"/>
      <c r="H829" s="20"/>
      <c r="I829" s="21"/>
      <c r="J829" s="21"/>
      <c r="K829" s="22"/>
      <c r="L829" s="23"/>
    </row>
    <row r="830" hidden="1">
      <c r="A830" s="6"/>
      <c r="B830" s="7"/>
      <c r="C830" s="8"/>
      <c r="D830" s="8"/>
      <c r="E830" s="32"/>
      <c r="F830" s="10"/>
      <c r="G830" s="11"/>
      <c r="H830" s="11"/>
      <c r="I830" s="12"/>
      <c r="J830" s="12"/>
      <c r="K830" s="13"/>
      <c r="L830" s="14"/>
    </row>
    <row r="831" hidden="1">
      <c r="A831" s="15"/>
      <c r="B831" s="16"/>
      <c r="C831" s="17"/>
      <c r="D831" s="17"/>
      <c r="E831" s="32"/>
      <c r="F831" s="19"/>
      <c r="G831" s="20"/>
      <c r="H831" s="20"/>
      <c r="I831" s="21"/>
      <c r="J831" s="21"/>
      <c r="K831" s="22"/>
      <c r="L831" s="23"/>
    </row>
    <row r="832" hidden="1">
      <c r="A832" s="6"/>
      <c r="B832" s="7"/>
      <c r="C832" s="8"/>
      <c r="D832" s="8"/>
      <c r="E832" s="32"/>
      <c r="F832" s="10"/>
      <c r="G832" s="11"/>
      <c r="H832" s="11"/>
      <c r="I832" s="12"/>
      <c r="J832" s="12"/>
      <c r="K832" s="13"/>
      <c r="L832" s="14"/>
    </row>
    <row r="833" hidden="1">
      <c r="A833" s="15"/>
      <c r="B833" s="16"/>
      <c r="C833" s="17"/>
      <c r="D833" s="17"/>
      <c r="E833" s="32"/>
      <c r="F833" s="19"/>
      <c r="G833" s="20"/>
      <c r="H833" s="20"/>
      <c r="I833" s="21"/>
      <c r="J833" s="21"/>
      <c r="K833" s="22"/>
      <c r="L833" s="23"/>
    </row>
    <row r="834" hidden="1">
      <c r="A834" s="6"/>
      <c r="B834" s="7"/>
      <c r="C834" s="8"/>
      <c r="D834" s="8"/>
      <c r="E834" s="32"/>
      <c r="F834" s="10"/>
      <c r="G834" s="11"/>
      <c r="H834" s="11"/>
      <c r="I834" s="12"/>
      <c r="J834" s="12"/>
      <c r="K834" s="13"/>
      <c r="L834" s="14"/>
    </row>
    <row r="835" hidden="1">
      <c r="A835" s="15"/>
      <c r="B835" s="16"/>
      <c r="C835" s="17"/>
      <c r="D835" s="17"/>
      <c r="E835" s="32"/>
      <c r="F835" s="19"/>
      <c r="G835" s="20"/>
      <c r="H835" s="20"/>
      <c r="I835" s="21"/>
      <c r="J835" s="21"/>
      <c r="K835" s="22"/>
      <c r="L835" s="23"/>
    </row>
    <row r="836" hidden="1">
      <c r="A836" s="6"/>
      <c r="B836" s="7"/>
      <c r="C836" s="8"/>
      <c r="D836" s="8"/>
      <c r="E836" s="32"/>
      <c r="F836" s="10"/>
      <c r="G836" s="11"/>
      <c r="H836" s="11"/>
      <c r="I836" s="12"/>
      <c r="J836" s="12"/>
      <c r="K836" s="13"/>
      <c r="L836" s="14"/>
    </row>
    <row r="837" hidden="1">
      <c r="A837" s="15"/>
      <c r="B837" s="16"/>
      <c r="C837" s="17"/>
      <c r="D837" s="17"/>
      <c r="E837" s="32"/>
      <c r="F837" s="19"/>
      <c r="G837" s="20"/>
      <c r="H837" s="20"/>
      <c r="I837" s="21"/>
      <c r="J837" s="21"/>
      <c r="K837" s="22"/>
      <c r="L837" s="23"/>
    </row>
    <row r="838" hidden="1">
      <c r="A838" s="6"/>
      <c r="B838" s="7"/>
      <c r="C838" s="8"/>
      <c r="D838" s="8"/>
      <c r="E838" s="32"/>
      <c r="F838" s="10"/>
      <c r="G838" s="11"/>
      <c r="H838" s="11"/>
      <c r="I838" s="12"/>
      <c r="J838" s="12"/>
      <c r="K838" s="13"/>
      <c r="L838" s="14"/>
    </row>
    <row r="839" hidden="1">
      <c r="A839" s="15"/>
      <c r="B839" s="16"/>
      <c r="C839" s="17"/>
      <c r="D839" s="17"/>
      <c r="E839" s="32"/>
      <c r="F839" s="19"/>
      <c r="G839" s="20"/>
      <c r="H839" s="20"/>
      <c r="I839" s="21"/>
      <c r="J839" s="21"/>
      <c r="K839" s="22"/>
      <c r="L839" s="23"/>
    </row>
    <row r="840" hidden="1">
      <c r="A840" s="6"/>
      <c r="B840" s="7"/>
      <c r="C840" s="8"/>
      <c r="D840" s="8"/>
      <c r="E840" s="32"/>
      <c r="F840" s="10"/>
      <c r="G840" s="11"/>
      <c r="H840" s="11"/>
      <c r="I840" s="12"/>
      <c r="J840" s="12"/>
      <c r="K840" s="13"/>
      <c r="L840" s="14"/>
    </row>
    <row r="841" hidden="1">
      <c r="A841" s="15"/>
      <c r="B841" s="16"/>
      <c r="C841" s="17"/>
      <c r="D841" s="17"/>
      <c r="E841" s="32"/>
      <c r="F841" s="19"/>
      <c r="G841" s="20"/>
      <c r="H841" s="20"/>
      <c r="I841" s="21"/>
      <c r="J841" s="21"/>
      <c r="K841" s="22"/>
      <c r="L841" s="23"/>
    </row>
    <row r="842" hidden="1">
      <c r="A842" s="6"/>
      <c r="B842" s="7"/>
      <c r="C842" s="8"/>
      <c r="D842" s="8"/>
      <c r="E842" s="32"/>
      <c r="F842" s="10"/>
      <c r="G842" s="11"/>
      <c r="H842" s="11"/>
      <c r="I842" s="12"/>
      <c r="J842" s="12"/>
      <c r="K842" s="13"/>
      <c r="L842" s="14"/>
    </row>
    <row r="843" hidden="1">
      <c r="A843" s="15"/>
      <c r="B843" s="16"/>
      <c r="C843" s="17"/>
      <c r="D843" s="17"/>
      <c r="E843" s="32"/>
      <c r="F843" s="19"/>
      <c r="G843" s="20"/>
      <c r="H843" s="20"/>
      <c r="I843" s="21"/>
      <c r="J843" s="21"/>
      <c r="K843" s="22"/>
      <c r="L843" s="23"/>
    </row>
    <row r="844" hidden="1">
      <c r="A844" s="6"/>
      <c r="B844" s="7"/>
      <c r="C844" s="8"/>
      <c r="D844" s="8"/>
      <c r="E844" s="32"/>
      <c r="F844" s="10"/>
      <c r="G844" s="11"/>
      <c r="H844" s="11"/>
      <c r="I844" s="12"/>
      <c r="J844" s="12"/>
      <c r="K844" s="13"/>
      <c r="L844" s="14"/>
    </row>
    <row r="845" hidden="1">
      <c r="A845" s="15"/>
      <c r="B845" s="16"/>
      <c r="C845" s="17"/>
      <c r="D845" s="17"/>
      <c r="E845" s="32"/>
      <c r="F845" s="19"/>
      <c r="G845" s="20"/>
      <c r="H845" s="20"/>
      <c r="I845" s="21"/>
      <c r="J845" s="21"/>
      <c r="K845" s="22"/>
      <c r="L845" s="23"/>
    </row>
    <row r="846" hidden="1">
      <c r="A846" s="6"/>
      <c r="B846" s="7"/>
      <c r="C846" s="8"/>
      <c r="D846" s="8"/>
      <c r="E846" s="32"/>
      <c r="F846" s="10"/>
      <c r="G846" s="11"/>
      <c r="H846" s="11"/>
      <c r="I846" s="12"/>
      <c r="J846" s="12"/>
      <c r="K846" s="13"/>
      <c r="L846" s="14"/>
    </row>
    <row r="847" hidden="1">
      <c r="A847" s="15"/>
      <c r="B847" s="16"/>
      <c r="C847" s="17"/>
      <c r="D847" s="17"/>
      <c r="E847" s="32"/>
      <c r="F847" s="19"/>
      <c r="G847" s="20"/>
      <c r="H847" s="20"/>
      <c r="I847" s="21"/>
      <c r="J847" s="21"/>
      <c r="K847" s="22"/>
      <c r="L847" s="23"/>
    </row>
    <row r="848" hidden="1">
      <c r="A848" s="6"/>
      <c r="B848" s="7"/>
      <c r="C848" s="8"/>
      <c r="D848" s="8"/>
      <c r="E848" s="32"/>
      <c r="F848" s="10"/>
      <c r="G848" s="11"/>
      <c r="H848" s="11"/>
      <c r="I848" s="12"/>
      <c r="J848" s="12"/>
      <c r="K848" s="13"/>
      <c r="L848" s="14"/>
    </row>
    <row r="849" hidden="1">
      <c r="A849" s="15"/>
      <c r="B849" s="16"/>
      <c r="C849" s="17"/>
      <c r="D849" s="17"/>
      <c r="E849" s="32"/>
      <c r="F849" s="19"/>
      <c r="G849" s="20"/>
      <c r="H849" s="20"/>
      <c r="I849" s="21"/>
      <c r="J849" s="21"/>
      <c r="K849" s="22"/>
      <c r="L849" s="23"/>
    </row>
    <row r="850" hidden="1">
      <c r="A850" s="6"/>
      <c r="B850" s="7"/>
      <c r="C850" s="8"/>
      <c r="D850" s="8"/>
      <c r="E850" s="32"/>
      <c r="F850" s="10"/>
      <c r="G850" s="11"/>
      <c r="H850" s="11"/>
      <c r="I850" s="12"/>
      <c r="J850" s="12"/>
      <c r="K850" s="13"/>
      <c r="L850" s="14"/>
    </row>
    <row r="851" hidden="1">
      <c r="A851" s="15"/>
      <c r="B851" s="16"/>
      <c r="C851" s="17"/>
      <c r="D851" s="17"/>
      <c r="E851" s="32"/>
      <c r="F851" s="19"/>
      <c r="G851" s="20"/>
      <c r="H851" s="20"/>
      <c r="I851" s="21"/>
      <c r="J851" s="21"/>
      <c r="K851" s="22"/>
      <c r="L851" s="23"/>
    </row>
    <row r="852" hidden="1">
      <c r="A852" s="6"/>
      <c r="B852" s="7"/>
      <c r="C852" s="8"/>
      <c r="D852" s="8"/>
      <c r="E852" s="32"/>
      <c r="F852" s="10"/>
      <c r="G852" s="11"/>
      <c r="H852" s="11"/>
      <c r="I852" s="12"/>
      <c r="J852" s="12"/>
      <c r="K852" s="13"/>
      <c r="L852" s="14"/>
    </row>
    <row r="853" hidden="1">
      <c r="A853" s="15"/>
      <c r="B853" s="16"/>
      <c r="C853" s="17"/>
      <c r="D853" s="17"/>
      <c r="E853" s="32"/>
      <c r="F853" s="19"/>
      <c r="G853" s="20"/>
      <c r="H853" s="20"/>
      <c r="I853" s="21"/>
      <c r="J853" s="21"/>
      <c r="K853" s="22"/>
      <c r="L853" s="23"/>
    </row>
    <row r="854" hidden="1">
      <c r="A854" s="6"/>
      <c r="B854" s="7"/>
      <c r="C854" s="8"/>
      <c r="D854" s="8"/>
      <c r="E854" s="32"/>
      <c r="F854" s="10"/>
      <c r="G854" s="11"/>
      <c r="H854" s="11"/>
      <c r="I854" s="12"/>
      <c r="J854" s="12"/>
      <c r="K854" s="13"/>
      <c r="L854" s="14"/>
    </row>
    <row r="855" hidden="1">
      <c r="A855" s="15"/>
      <c r="B855" s="16"/>
      <c r="C855" s="17"/>
      <c r="D855" s="17"/>
      <c r="E855" s="32"/>
      <c r="F855" s="19"/>
      <c r="G855" s="20"/>
      <c r="H855" s="20"/>
      <c r="I855" s="21"/>
      <c r="J855" s="21"/>
      <c r="K855" s="22"/>
      <c r="L855" s="23"/>
    </row>
    <row r="856" hidden="1">
      <c r="A856" s="6"/>
      <c r="B856" s="7"/>
      <c r="C856" s="8"/>
      <c r="D856" s="8"/>
      <c r="E856" s="32"/>
      <c r="F856" s="10"/>
      <c r="G856" s="11"/>
      <c r="H856" s="11"/>
      <c r="I856" s="12"/>
      <c r="J856" s="12"/>
      <c r="K856" s="13"/>
      <c r="L856" s="14"/>
    </row>
    <row r="857" hidden="1">
      <c r="A857" s="15"/>
      <c r="B857" s="16"/>
      <c r="C857" s="17"/>
      <c r="D857" s="17"/>
      <c r="E857" s="32"/>
      <c r="F857" s="19"/>
      <c r="G857" s="20"/>
      <c r="H857" s="20"/>
      <c r="I857" s="21"/>
      <c r="J857" s="21"/>
      <c r="K857" s="22"/>
      <c r="L857" s="23"/>
    </row>
    <row r="858" hidden="1">
      <c r="A858" s="6"/>
      <c r="B858" s="7"/>
      <c r="C858" s="8"/>
      <c r="D858" s="8"/>
      <c r="E858" s="32"/>
      <c r="F858" s="10"/>
      <c r="G858" s="11"/>
      <c r="H858" s="11"/>
      <c r="I858" s="12"/>
      <c r="J858" s="12"/>
      <c r="K858" s="13"/>
      <c r="L858" s="14"/>
    </row>
    <row r="859" hidden="1">
      <c r="A859" s="15"/>
      <c r="B859" s="16"/>
      <c r="C859" s="17"/>
      <c r="D859" s="17"/>
      <c r="E859" s="32"/>
      <c r="F859" s="19"/>
      <c r="G859" s="20"/>
      <c r="H859" s="20"/>
      <c r="I859" s="21"/>
      <c r="J859" s="21"/>
      <c r="K859" s="22"/>
      <c r="L859" s="23"/>
    </row>
    <row r="860" hidden="1">
      <c r="A860" s="6"/>
      <c r="B860" s="7"/>
      <c r="C860" s="8"/>
      <c r="D860" s="8"/>
      <c r="E860" s="32"/>
      <c r="F860" s="10"/>
      <c r="G860" s="11"/>
      <c r="H860" s="11"/>
      <c r="I860" s="12"/>
      <c r="J860" s="12"/>
      <c r="K860" s="13"/>
      <c r="L860" s="14"/>
    </row>
    <row r="861" hidden="1">
      <c r="A861" s="15"/>
      <c r="B861" s="16"/>
      <c r="C861" s="17"/>
      <c r="D861" s="17"/>
      <c r="E861" s="32"/>
      <c r="F861" s="19"/>
      <c r="G861" s="20"/>
      <c r="H861" s="20"/>
      <c r="I861" s="21"/>
      <c r="J861" s="21"/>
      <c r="K861" s="22"/>
      <c r="L861" s="23"/>
    </row>
    <row r="862" hidden="1">
      <c r="A862" s="6"/>
      <c r="B862" s="7"/>
      <c r="C862" s="8"/>
      <c r="D862" s="8"/>
      <c r="E862" s="32"/>
      <c r="F862" s="10"/>
      <c r="G862" s="11"/>
      <c r="H862" s="11"/>
      <c r="I862" s="12"/>
      <c r="J862" s="12"/>
      <c r="K862" s="13"/>
      <c r="L862" s="14"/>
    </row>
    <row r="863" hidden="1">
      <c r="A863" s="15"/>
      <c r="B863" s="16"/>
      <c r="C863" s="17"/>
      <c r="D863" s="17"/>
      <c r="E863" s="32"/>
      <c r="F863" s="19"/>
      <c r="G863" s="20"/>
      <c r="H863" s="20"/>
      <c r="I863" s="21"/>
      <c r="J863" s="21"/>
      <c r="K863" s="22"/>
      <c r="L863" s="23"/>
    </row>
    <row r="864" hidden="1">
      <c r="A864" s="6"/>
      <c r="B864" s="7"/>
      <c r="C864" s="8"/>
      <c r="D864" s="8"/>
      <c r="E864" s="32"/>
      <c r="F864" s="10"/>
      <c r="G864" s="11"/>
      <c r="H864" s="11"/>
      <c r="I864" s="12"/>
      <c r="J864" s="12"/>
      <c r="K864" s="13"/>
      <c r="L864" s="14"/>
    </row>
    <row r="865" hidden="1">
      <c r="A865" s="15"/>
      <c r="B865" s="16"/>
      <c r="C865" s="17"/>
      <c r="D865" s="17"/>
      <c r="E865" s="32"/>
      <c r="F865" s="19"/>
      <c r="G865" s="20"/>
      <c r="H865" s="20"/>
      <c r="I865" s="21"/>
      <c r="J865" s="21"/>
      <c r="K865" s="22"/>
      <c r="L865" s="23"/>
    </row>
    <row r="866" hidden="1">
      <c r="A866" s="6"/>
      <c r="B866" s="7"/>
      <c r="C866" s="8"/>
      <c r="D866" s="8"/>
      <c r="E866" s="32"/>
      <c r="F866" s="10"/>
      <c r="G866" s="11"/>
      <c r="H866" s="11"/>
      <c r="I866" s="12"/>
      <c r="J866" s="12"/>
      <c r="K866" s="13"/>
      <c r="L866" s="14"/>
    </row>
    <row r="867" hidden="1">
      <c r="A867" s="15"/>
      <c r="B867" s="16"/>
      <c r="C867" s="17"/>
      <c r="D867" s="17"/>
      <c r="E867" s="32"/>
      <c r="F867" s="19"/>
      <c r="G867" s="20"/>
      <c r="H867" s="20"/>
      <c r="I867" s="21"/>
      <c r="J867" s="21"/>
      <c r="K867" s="22"/>
      <c r="L867" s="23"/>
    </row>
    <row r="868" hidden="1">
      <c r="A868" s="6"/>
      <c r="B868" s="7"/>
      <c r="C868" s="8"/>
      <c r="D868" s="8"/>
      <c r="E868" s="32"/>
      <c r="F868" s="10"/>
      <c r="G868" s="11"/>
      <c r="H868" s="11"/>
      <c r="I868" s="12"/>
      <c r="J868" s="12"/>
      <c r="K868" s="13"/>
      <c r="L868" s="14"/>
    </row>
    <row r="869" hidden="1">
      <c r="A869" s="15"/>
      <c r="B869" s="16"/>
      <c r="C869" s="17"/>
      <c r="D869" s="17"/>
      <c r="E869" s="32"/>
      <c r="F869" s="19"/>
      <c r="G869" s="20"/>
      <c r="H869" s="20"/>
      <c r="I869" s="21"/>
      <c r="J869" s="21"/>
      <c r="K869" s="22"/>
      <c r="L869" s="23"/>
    </row>
    <row r="870" hidden="1">
      <c r="A870" s="6"/>
      <c r="B870" s="7"/>
      <c r="C870" s="8"/>
      <c r="D870" s="8"/>
      <c r="E870" s="32"/>
      <c r="F870" s="10"/>
      <c r="G870" s="11"/>
      <c r="H870" s="11"/>
      <c r="I870" s="12"/>
      <c r="J870" s="12"/>
      <c r="K870" s="13"/>
      <c r="L870" s="14"/>
    </row>
    <row r="871" hidden="1">
      <c r="A871" s="15"/>
      <c r="B871" s="16"/>
      <c r="C871" s="17"/>
      <c r="D871" s="17"/>
      <c r="E871" s="32"/>
      <c r="F871" s="19"/>
      <c r="G871" s="20"/>
      <c r="H871" s="20"/>
      <c r="I871" s="21"/>
      <c r="J871" s="21"/>
      <c r="K871" s="22"/>
      <c r="L871" s="23"/>
    </row>
    <row r="872" hidden="1">
      <c r="A872" s="6"/>
      <c r="B872" s="7"/>
      <c r="C872" s="8"/>
      <c r="D872" s="8"/>
      <c r="E872" s="32"/>
      <c r="F872" s="10"/>
      <c r="G872" s="11"/>
      <c r="H872" s="11"/>
      <c r="I872" s="12"/>
      <c r="J872" s="12"/>
      <c r="K872" s="13"/>
      <c r="L872" s="14"/>
    </row>
    <row r="873" hidden="1">
      <c r="A873" s="15"/>
      <c r="B873" s="16"/>
      <c r="C873" s="17"/>
      <c r="D873" s="17"/>
      <c r="E873" s="32"/>
      <c r="F873" s="19"/>
      <c r="G873" s="20"/>
      <c r="H873" s="20"/>
      <c r="I873" s="21"/>
      <c r="J873" s="21"/>
      <c r="K873" s="22"/>
      <c r="L873" s="23"/>
    </row>
    <row r="874" hidden="1">
      <c r="A874" s="6"/>
      <c r="B874" s="7"/>
      <c r="C874" s="8"/>
      <c r="D874" s="8"/>
      <c r="E874" s="32"/>
      <c r="F874" s="10"/>
      <c r="G874" s="11"/>
      <c r="H874" s="11"/>
      <c r="I874" s="12"/>
      <c r="J874" s="12"/>
      <c r="K874" s="13"/>
      <c r="L874" s="14"/>
    </row>
    <row r="875" hidden="1">
      <c r="A875" s="15"/>
      <c r="B875" s="16"/>
      <c r="C875" s="17"/>
      <c r="D875" s="17"/>
      <c r="E875" s="32"/>
      <c r="F875" s="19"/>
      <c r="G875" s="20"/>
      <c r="H875" s="20"/>
      <c r="I875" s="21"/>
      <c r="J875" s="21"/>
      <c r="K875" s="22"/>
      <c r="L875" s="23"/>
    </row>
    <row r="876" hidden="1">
      <c r="A876" s="6"/>
      <c r="B876" s="7"/>
      <c r="C876" s="8"/>
      <c r="D876" s="8"/>
      <c r="E876" s="32"/>
      <c r="F876" s="10"/>
      <c r="G876" s="11"/>
      <c r="H876" s="11"/>
      <c r="I876" s="12"/>
      <c r="J876" s="12"/>
      <c r="K876" s="13"/>
      <c r="L876" s="14"/>
    </row>
    <row r="877" hidden="1">
      <c r="A877" s="15"/>
      <c r="B877" s="16"/>
      <c r="C877" s="17"/>
      <c r="D877" s="17"/>
      <c r="E877" s="32"/>
      <c r="F877" s="19"/>
      <c r="G877" s="20"/>
      <c r="H877" s="20"/>
      <c r="I877" s="21"/>
      <c r="J877" s="21"/>
      <c r="K877" s="22"/>
      <c r="L877" s="23"/>
    </row>
    <row r="878" hidden="1">
      <c r="A878" s="6"/>
      <c r="B878" s="7"/>
      <c r="C878" s="8"/>
      <c r="D878" s="8"/>
      <c r="E878" s="32"/>
      <c r="F878" s="10"/>
      <c r="G878" s="11"/>
      <c r="H878" s="11"/>
      <c r="I878" s="12"/>
      <c r="J878" s="12"/>
      <c r="K878" s="13"/>
      <c r="L878" s="14"/>
    </row>
    <row r="879" hidden="1">
      <c r="A879" s="15"/>
      <c r="B879" s="16"/>
      <c r="C879" s="17"/>
      <c r="D879" s="17"/>
      <c r="E879" s="32"/>
      <c r="F879" s="19"/>
      <c r="G879" s="20"/>
      <c r="H879" s="20"/>
      <c r="I879" s="21"/>
      <c r="J879" s="21"/>
      <c r="K879" s="22"/>
      <c r="L879" s="23"/>
    </row>
    <row r="880" hidden="1">
      <c r="A880" s="6"/>
      <c r="B880" s="7"/>
      <c r="C880" s="8"/>
      <c r="D880" s="8"/>
      <c r="E880" s="32"/>
      <c r="F880" s="10"/>
      <c r="G880" s="11"/>
      <c r="H880" s="11"/>
      <c r="I880" s="12"/>
      <c r="J880" s="12"/>
      <c r="K880" s="13"/>
      <c r="L880" s="14"/>
    </row>
    <row r="881" hidden="1">
      <c r="A881" s="15"/>
      <c r="B881" s="16"/>
      <c r="C881" s="17"/>
      <c r="D881" s="17"/>
      <c r="E881" s="32"/>
      <c r="F881" s="19"/>
      <c r="G881" s="20"/>
      <c r="H881" s="20"/>
      <c r="I881" s="21"/>
      <c r="J881" s="21"/>
      <c r="K881" s="22"/>
      <c r="L881" s="23"/>
    </row>
    <row r="882" hidden="1">
      <c r="A882" s="6"/>
      <c r="B882" s="7"/>
      <c r="C882" s="8"/>
      <c r="D882" s="8"/>
      <c r="E882" s="32"/>
      <c r="F882" s="10"/>
      <c r="G882" s="11"/>
      <c r="H882" s="11"/>
      <c r="I882" s="12"/>
      <c r="J882" s="12"/>
      <c r="K882" s="13"/>
      <c r="L882" s="14"/>
    </row>
    <row r="883" hidden="1">
      <c r="A883" s="15"/>
      <c r="B883" s="16"/>
      <c r="C883" s="17"/>
      <c r="D883" s="17"/>
      <c r="E883" s="32"/>
      <c r="F883" s="19"/>
      <c r="G883" s="20"/>
      <c r="H883" s="20"/>
      <c r="I883" s="21"/>
      <c r="J883" s="21"/>
      <c r="K883" s="22"/>
      <c r="L883" s="23"/>
    </row>
    <row r="884" hidden="1">
      <c r="A884" s="6"/>
      <c r="B884" s="7"/>
      <c r="C884" s="8"/>
      <c r="D884" s="8"/>
      <c r="E884" s="32"/>
      <c r="F884" s="10"/>
      <c r="G884" s="11"/>
      <c r="H884" s="11"/>
      <c r="I884" s="12"/>
      <c r="J884" s="12"/>
      <c r="K884" s="13"/>
      <c r="L884" s="14"/>
    </row>
    <row r="885" hidden="1">
      <c r="A885" s="15"/>
      <c r="B885" s="16"/>
      <c r="C885" s="17"/>
      <c r="D885" s="17"/>
      <c r="E885" s="32"/>
      <c r="F885" s="19"/>
      <c r="G885" s="20"/>
      <c r="H885" s="20"/>
      <c r="I885" s="21"/>
      <c r="J885" s="21"/>
      <c r="K885" s="22"/>
      <c r="L885" s="23"/>
    </row>
    <row r="886" hidden="1">
      <c r="A886" s="6"/>
      <c r="B886" s="7"/>
      <c r="C886" s="8"/>
      <c r="D886" s="8"/>
      <c r="E886" s="32"/>
      <c r="F886" s="10"/>
      <c r="G886" s="11"/>
      <c r="H886" s="11"/>
      <c r="I886" s="12"/>
      <c r="J886" s="12"/>
      <c r="K886" s="13"/>
      <c r="L886" s="14"/>
    </row>
    <row r="887" hidden="1">
      <c r="A887" s="15"/>
      <c r="B887" s="16"/>
      <c r="C887" s="17"/>
      <c r="D887" s="17"/>
      <c r="E887" s="32"/>
      <c r="F887" s="19"/>
      <c r="G887" s="20"/>
      <c r="H887" s="20"/>
      <c r="I887" s="21"/>
      <c r="J887" s="21"/>
      <c r="K887" s="22"/>
      <c r="L887" s="23"/>
    </row>
    <row r="888" hidden="1">
      <c r="A888" s="6"/>
      <c r="B888" s="7"/>
      <c r="C888" s="8"/>
      <c r="D888" s="8"/>
      <c r="E888" s="32"/>
      <c r="F888" s="10"/>
      <c r="G888" s="11"/>
      <c r="H888" s="11"/>
      <c r="I888" s="12"/>
      <c r="J888" s="12"/>
      <c r="K888" s="13"/>
      <c r="L888" s="14"/>
    </row>
    <row r="889" hidden="1">
      <c r="A889" s="15"/>
      <c r="B889" s="16"/>
      <c r="C889" s="17"/>
      <c r="D889" s="17"/>
      <c r="E889" s="32"/>
      <c r="F889" s="19"/>
      <c r="G889" s="20"/>
      <c r="H889" s="20"/>
      <c r="I889" s="21"/>
      <c r="J889" s="21"/>
      <c r="K889" s="22"/>
      <c r="L889" s="23"/>
    </row>
    <row r="890" hidden="1">
      <c r="A890" s="6"/>
      <c r="B890" s="7"/>
      <c r="C890" s="8"/>
      <c r="D890" s="8"/>
      <c r="E890" s="32"/>
      <c r="F890" s="10"/>
      <c r="G890" s="11"/>
      <c r="H890" s="11"/>
      <c r="I890" s="12"/>
      <c r="J890" s="12"/>
      <c r="K890" s="13"/>
      <c r="L890" s="14"/>
    </row>
    <row r="891" hidden="1">
      <c r="A891" s="15"/>
      <c r="B891" s="16"/>
      <c r="C891" s="17"/>
      <c r="D891" s="17"/>
      <c r="E891" s="32"/>
      <c r="F891" s="19"/>
      <c r="G891" s="20"/>
      <c r="H891" s="20"/>
      <c r="I891" s="21"/>
      <c r="J891" s="21"/>
      <c r="K891" s="22"/>
      <c r="L891" s="23"/>
    </row>
    <row r="892" hidden="1">
      <c r="A892" s="6"/>
      <c r="B892" s="7"/>
      <c r="C892" s="8"/>
      <c r="D892" s="8"/>
      <c r="E892" s="32"/>
      <c r="F892" s="10"/>
      <c r="G892" s="11"/>
      <c r="H892" s="11"/>
      <c r="I892" s="12"/>
      <c r="J892" s="12"/>
      <c r="K892" s="13"/>
      <c r="L892" s="14"/>
    </row>
    <row r="893" hidden="1">
      <c r="A893" s="15"/>
      <c r="B893" s="16"/>
      <c r="C893" s="17"/>
      <c r="D893" s="17"/>
      <c r="E893" s="32"/>
      <c r="F893" s="19"/>
      <c r="G893" s="20"/>
      <c r="H893" s="20"/>
      <c r="I893" s="21"/>
      <c r="J893" s="21"/>
      <c r="K893" s="22"/>
      <c r="L893" s="23"/>
    </row>
    <row r="894" hidden="1">
      <c r="A894" s="6"/>
      <c r="B894" s="7"/>
      <c r="C894" s="8"/>
      <c r="D894" s="8"/>
      <c r="E894" s="32"/>
      <c r="F894" s="10"/>
      <c r="G894" s="11"/>
      <c r="H894" s="11"/>
      <c r="I894" s="12"/>
      <c r="J894" s="12"/>
      <c r="K894" s="13"/>
      <c r="L894" s="14"/>
    </row>
    <row r="895" hidden="1">
      <c r="A895" s="15"/>
      <c r="B895" s="16"/>
      <c r="C895" s="17"/>
      <c r="D895" s="17"/>
      <c r="E895" s="32"/>
      <c r="F895" s="19"/>
      <c r="G895" s="20"/>
      <c r="H895" s="20"/>
      <c r="I895" s="21"/>
      <c r="J895" s="21"/>
      <c r="K895" s="22"/>
      <c r="L895" s="23"/>
    </row>
    <row r="896" hidden="1">
      <c r="A896" s="6"/>
      <c r="B896" s="7"/>
      <c r="C896" s="8"/>
      <c r="D896" s="8"/>
      <c r="E896" s="32"/>
      <c r="F896" s="10"/>
      <c r="G896" s="11"/>
      <c r="H896" s="11"/>
      <c r="I896" s="12"/>
      <c r="J896" s="12"/>
      <c r="K896" s="13"/>
      <c r="L896" s="14"/>
    </row>
    <row r="897" hidden="1">
      <c r="A897" s="15"/>
      <c r="B897" s="16"/>
      <c r="C897" s="17"/>
      <c r="D897" s="17"/>
      <c r="E897" s="32"/>
      <c r="F897" s="19"/>
      <c r="G897" s="20"/>
      <c r="H897" s="20"/>
      <c r="I897" s="21"/>
      <c r="J897" s="21"/>
      <c r="K897" s="22"/>
      <c r="L897" s="23"/>
    </row>
    <row r="898" hidden="1">
      <c r="A898" s="6"/>
      <c r="B898" s="7"/>
      <c r="C898" s="8"/>
      <c r="D898" s="8"/>
      <c r="E898" s="32"/>
      <c r="F898" s="10"/>
      <c r="G898" s="11"/>
      <c r="H898" s="11"/>
      <c r="I898" s="12"/>
      <c r="J898" s="12"/>
      <c r="K898" s="13"/>
      <c r="L898" s="14"/>
    </row>
    <row r="899" hidden="1">
      <c r="A899" s="15"/>
      <c r="B899" s="16"/>
      <c r="C899" s="17"/>
      <c r="D899" s="17"/>
      <c r="E899" s="32"/>
      <c r="F899" s="19"/>
      <c r="G899" s="20"/>
      <c r="H899" s="20"/>
      <c r="I899" s="21"/>
      <c r="J899" s="21"/>
      <c r="K899" s="22"/>
      <c r="L899" s="23"/>
    </row>
    <row r="900" hidden="1">
      <c r="A900" s="6"/>
      <c r="B900" s="7"/>
      <c r="C900" s="8"/>
      <c r="D900" s="8"/>
      <c r="E900" s="32"/>
      <c r="F900" s="10"/>
      <c r="G900" s="11"/>
      <c r="H900" s="11"/>
      <c r="I900" s="12"/>
      <c r="J900" s="12"/>
      <c r="K900" s="13"/>
      <c r="L900" s="14"/>
    </row>
    <row r="901" hidden="1">
      <c r="A901" s="15"/>
      <c r="B901" s="16"/>
      <c r="C901" s="17"/>
      <c r="D901" s="17"/>
      <c r="E901" s="32"/>
      <c r="F901" s="19"/>
      <c r="G901" s="20"/>
      <c r="H901" s="20"/>
      <c r="I901" s="21"/>
      <c r="J901" s="21"/>
      <c r="K901" s="22"/>
      <c r="L901" s="23"/>
    </row>
    <row r="902" hidden="1">
      <c r="A902" s="6"/>
      <c r="B902" s="7"/>
      <c r="C902" s="8"/>
      <c r="D902" s="8"/>
      <c r="E902" s="32"/>
      <c r="F902" s="10"/>
      <c r="G902" s="11"/>
      <c r="H902" s="11"/>
      <c r="I902" s="12"/>
      <c r="J902" s="12"/>
      <c r="K902" s="13"/>
      <c r="L902" s="14"/>
    </row>
    <row r="903" hidden="1">
      <c r="A903" s="15"/>
      <c r="B903" s="16"/>
      <c r="C903" s="17"/>
      <c r="D903" s="17"/>
      <c r="E903" s="32"/>
      <c r="F903" s="19"/>
      <c r="G903" s="20"/>
      <c r="H903" s="20"/>
      <c r="I903" s="21"/>
      <c r="J903" s="21"/>
      <c r="K903" s="22"/>
      <c r="L903" s="23"/>
    </row>
    <row r="904" hidden="1">
      <c r="A904" s="6"/>
      <c r="B904" s="7"/>
      <c r="C904" s="8"/>
      <c r="D904" s="8"/>
      <c r="E904" s="32"/>
      <c r="F904" s="10"/>
      <c r="G904" s="11"/>
      <c r="H904" s="11"/>
      <c r="I904" s="12"/>
      <c r="J904" s="12"/>
      <c r="K904" s="13"/>
      <c r="L904" s="14"/>
    </row>
    <row r="905" hidden="1">
      <c r="A905" s="15"/>
      <c r="B905" s="16"/>
      <c r="C905" s="17"/>
      <c r="D905" s="17"/>
      <c r="E905" s="32"/>
      <c r="F905" s="19"/>
      <c r="G905" s="20"/>
      <c r="H905" s="20"/>
      <c r="I905" s="21"/>
      <c r="J905" s="21"/>
      <c r="K905" s="22"/>
      <c r="L905" s="23"/>
    </row>
    <row r="906" hidden="1">
      <c r="A906" s="6"/>
      <c r="B906" s="7"/>
      <c r="C906" s="8"/>
      <c r="D906" s="8"/>
      <c r="E906" s="32"/>
      <c r="F906" s="10"/>
      <c r="G906" s="11"/>
      <c r="H906" s="11"/>
      <c r="I906" s="12"/>
      <c r="J906" s="12"/>
      <c r="K906" s="13"/>
      <c r="L906" s="14"/>
    </row>
    <row r="907" hidden="1">
      <c r="A907" s="15"/>
      <c r="B907" s="16"/>
      <c r="C907" s="17"/>
      <c r="D907" s="17"/>
      <c r="E907" s="32"/>
      <c r="F907" s="19"/>
      <c r="G907" s="20"/>
      <c r="H907" s="20"/>
      <c r="I907" s="21"/>
      <c r="J907" s="21"/>
      <c r="K907" s="22"/>
      <c r="L907" s="23"/>
    </row>
    <row r="908" hidden="1">
      <c r="A908" s="6"/>
      <c r="B908" s="7"/>
      <c r="C908" s="8"/>
      <c r="D908" s="8"/>
      <c r="E908" s="32"/>
      <c r="F908" s="10"/>
      <c r="G908" s="11"/>
      <c r="H908" s="11"/>
      <c r="I908" s="12"/>
      <c r="J908" s="12"/>
      <c r="K908" s="13"/>
      <c r="L908" s="14"/>
    </row>
    <row r="909" hidden="1">
      <c r="A909" s="15"/>
      <c r="B909" s="16"/>
      <c r="C909" s="17"/>
      <c r="D909" s="17"/>
      <c r="E909" s="32"/>
      <c r="F909" s="19"/>
      <c r="G909" s="20"/>
      <c r="H909" s="20"/>
      <c r="I909" s="21"/>
      <c r="J909" s="21"/>
      <c r="K909" s="22"/>
      <c r="L909" s="23"/>
    </row>
    <row r="910" hidden="1">
      <c r="A910" s="6"/>
      <c r="B910" s="7"/>
      <c r="C910" s="8"/>
      <c r="D910" s="8"/>
      <c r="E910" s="32"/>
      <c r="F910" s="10"/>
      <c r="G910" s="11"/>
      <c r="H910" s="11"/>
      <c r="I910" s="12"/>
      <c r="J910" s="12"/>
      <c r="K910" s="13"/>
      <c r="L910" s="14"/>
    </row>
    <row r="911" hidden="1">
      <c r="A911" s="15"/>
      <c r="B911" s="16"/>
      <c r="C911" s="17"/>
      <c r="D911" s="17"/>
      <c r="E911" s="32"/>
      <c r="F911" s="19"/>
      <c r="G911" s="20"/>
      <c r="H911" s="20"/>
      <c r="I911" s="21"/>
      <c r="J911" s="21"/>
      <c r="K911" s="22"/>
      <c r="L911" s="23"/>
    </row>
    <row r="912" hidden="1">
      <c r="A912" s="6"/>
      <c r="B912" s="7"/>
      <c r="C912" s="8"/>
      <c r="D912" s="8"/>
      <c r="E912" s="32"/>
      <c r="F912" s="10"/>
      <c r="G912" s="11"/>
      <c r="H912" s="11"/>
      <c r="I912" s="12"/>
      <c r="J912" s="12"/>
      <c r="K912" s="13"/>
      <c r="L912" s="14"/>
    </row>
    <row r="913" hidden="1">
      <c r="A913" s="15"/>
      <c r="B913" s="16"/>
      <c r="C913" s="17"/>
      <c r="D913" s="17"/>
      <c r="E913" s="32"/>
      <c r="F913" s="19"/>
      <c r="G913" s="20"/>
      <c r="H913" s="20"/>
      <c r="I913" s="21"/>
      <c r="J913" s="21"/>
      <c r="K913" s="22"/>
      <c r="L913" s="23"/>
    </row>
    <row r="914" hidden="1">
      <c r="A914" s="6"/>
      <c r="B914" s="7"/>
      <c r="C914" s="8"/>
      <c r="D914" s="8"/>
      <c r="E914" s="32"/>
      <c r="F914" s="10"/>
      <c r="G914" s="11"/>
      <c r="H914" s="11"/>
      <c r="I914" s="12"/>
      <c r="J914" s="12"/>
      <c r="K914" s="13"/>
      <c r="L914" s="14"/>
    </row>
    <row r="915" hidden="1">
      <c r="A915" s="15"/>
      <c r="B915" s="16"/>
      <c r="C915" s="17"/>
      <c r="D915" s="17"/>
      <c r="E915" s="32"/>
      <c r="F915" s="19"/>
      <c r="G915" s="20"/>
      <c r="H915" s="20"/>
      <c r="I915" s="21"/>
      <c r="J915" s="21"/>
      <c r="K915" s="22"/>
      <c r="L915" s="23"/>
    </row>
    <row r="916" hidden="1">
      <c r="A916" s="6"/>
      <c r="B916" s="7"/>
      <c r="C916" s="8"/>
      <c r="D916" s="8"/>
      <c r="E916" s="32"/>
      <c r="F916" s="10"/>
      <c r="G916" s="11"/>
      <c r="H916" s="11"/>
      <c r="I916" s="12"/>
      <c r="J916" s="12"/>
      <c r="K916" s="13"/>
      <c r="L916" s="14"/>
    </row>
    <row r="917" hidden="1">
      <c r="A917" s="15"/>
      <c r="B917" s="16"/>
      <c r="C917" s="17"/>
      <c r="D917" s="17"/>
      <c r="E917" s="32"/>
      <c r="F917" s="19"/>
      <c r="G917" s="20"/>
      <c r="H917" s="20"/>
      <c r="I917" s="21"/>
      <c r="J917" s="21"/>
      <c r="K917" s="22"/>
      <c r="L917" s="23"/>
    </row>
    <row r="918" hidden="1">
      <c r="A918" s="6"/>
      <c r="B918" s="7"/>
      <c r="C918" s="8"/>
      <c r="D918" s="8"/>
      <c r="E918" s="32"/>
      <c r="F918" s="10"/>
      <c r="G918" s="11"/>
      <c r="H918" s="11"/>
      <c r="I918" s="12"/>
      <c r="J918" s="12"/>
      <c r="K918" s="13"/>
      <c r="L918" s="14"/>
    </row>
    <row r="919" hidden="1">
      <c r="A919" s="15"/>
      <c r="B919" s="16"/>
      <c r="C919" s="17"/>
      <c r="D919" s="17"/>
      <c r="E919" s="32"/>
      <c r="F919" s="19"/>
      <c r="G919" s="20"/>
      <c r="H919" s="20"/>
      <c r="I919" s="21"/>
      <c r="J919" s="21"/>
      <c r="K919" s="22"/>
      <c r="L919" s="23"/>
    </row>
    <row r="920" hidden="1">
      <c r="A920" s="6"/>
      <c r="B920" s="7"/>
      <c r="C920" s="8"/>
      <c r="D920" s="8"/>
      <c r="E920" s="32"/>
      <c r="F920" s="10"/>
      <c r="G920" s="11"/>
      <c r="H920" s="11"/>
      <c r="I920" s="12"/>
      <c r="J920" s="12"/>
      <c r="K920" s="13"/>
      <c r="L920" s="14"/>
    </row>
    <row r="921" hidden="1">
      <c r="A921" s="15"/>
      <c r="B921" s="16"/>
      <c r="C921" s="17"/>
      <c r="D921" s="17"/>
      <c r="E921" s="32"/>
      <c r="F921" s="19"/>
      <c r="G921" s="20"/>
      <c r="H921" s="20"/>
      <c r="I921" s="21"/>
      <c r="J921" s="21"/>
      <c r="K921" s="22"/>
      <c r="L921" s="23"/>
    </row>
    <row r="922" hidden="1">
      <c r="A922" s="6"/>
      <c r="B922" s="7"/>
      <c r="C922" s="8"/>
      <c r="D922" s="8"/>
      <c r="E922" s="32"/>
      <c r="F922" s="10"/>
      <c r="G922" s="11"/>
      <c r="H922" s="11"/>
      <c r="I922" s="12"/>
      <c r="J922" s="12"/>
      <c r="K922" s="13"/>
      <c r="L922" s="14"/>
    </row>
    <row r="923" hidden="1">
      <c r="A923" s="15"/>
      <c r="B923" s="16"/>
      <c r="C923" s="17"/>
      <c r="D923" s="17"/>
      <c r="E923" s="32"/>
      <c r="F923" s="19"/>
      <c r="G923" s="20"/>
      <c r="H923" s="20"/>
      <c r="I923" s="21"/>
      <c r="J923" s="21"/>
      <c r="K923" s="22"/>
      <c r="L923" s="23"/>
    </row>
    <row r="924" hidden="1">
      <c r="A924" s="6"/>
      <c r="B924" s="7"/>
      <c r="C924" s="8"/>
      <c r="D924" s="8"/>
      <c r="E924" s="32"/>
      <c r="F924" s="10"/>
      <c r="G924" s="11"/>
      <c r="H924" s="11"/>
      <c r="I924" s="12"/>
      <c r="J924" s="12"/>
      <c r="K924" s="13"/>
      <c r="L924" s="14"/>
    </row>
    <row r="925" hidden="1">
      <c r="A925" s="15"/>
      <c r="B925" s="16"/>
      <c r="C925" s="17"/>
      <c r="D925" s="17"/>
      <c r="E925" s="32"/>
      <c r="F925" s="19"/>
      <c r="G925" s="20"/>
      <c r="H925" s="20"/>
      <c r="I925" s="21"/>
      <c r="J925" s="21"/>
      <c r="K925" s="22"/>
      <c r="L925" s="23"/>
    </row>
    <row r="926" hidden="1">
      <c r="A926" s="6"/>
      <c r="B926" s="7"/>
      <c r="C926" s="8"/>
      <c r="D926" s="8"/>
      <c r="E926" s="32"/>
      <c r="F926" s="10"/>
      <c r="G926" s="11"/>
      <c r="H926" s="11"/>
      <c r="I926" s="12"/>
      <c r="J926" s="12"/>
      <c r="K926" s="13"/>
      <c r="L926" s="14"/>
    </row>
    <row r="927" hidden="1">
      <c r="A927" s="15"/>
      <c r="B927" s="16"/>
      <c r="C927" s="17"/>
      <c r="D927" s="17"/>
      <c r="E927" s="32"/>
      <c r="F927" s="19"/>
      <c r="G927" s="20"/>
      <c r="H927" s="20"/>
      <c r="I927" s="21"/>
      <c r="J927" s="21"/>
      <c r="K927" s="22"/>
      <c r="L927" s="23"/>
    </row>
    <row r="928" hidden="1">
      <c r="A928" s="6"/>
      <c r="B928" s="7"/>
      <c r="C928" s="8"/>
      <c r="D928" s="8"/>
      <c r="E928" s="32"/>
      <c r="F928" s="10"/>
      <c r="G928" s="11"/>
      <c r="H928" s="11"/>
      <c r="I928" s="12"/>
      <c r="J928" s="12"/>
      <c r="K928" s="13"/>
      <c r="L928" s="14"/>
    </row>
    <row r="929" hidden="1">
      <c r="A929" s="15"/>
      <c r="B929" s="16"/>
      <c r="C929" s="17"/>
      <c r="D929" s="17"/>
      <c r="E929" s="32"/>
      <c r="F929" s="19"/>
      <c r="G929" s="20"/>
      <c r="H929" s="20"/>
      <c r="I929" s="21"/>
      <c r="J929" s="21"/>
      <c r="K929" s="22"/>
      <c r="L929" s="23"/>
    </row>
    <row r="930" hidden="1">
      <c r="A930" s="6"/>
      <c r="B930" s="7"/>
      <c r="C930" s="8"/>
      <c r="D930" s="8"/>
      <c r="E930" s="32"/>
      <c r="F930" s="10"/>
      <c r="G930" s="11"/>
      <c r="H930" s="11"/>
      <c r="I930" s="12"/>
      <c r="J930" s="12"/>
      <c r="K930" s="13"/>
      <c r="L930" s="14"/>
    </row>
    <row r="931" hidden="1">
      <c r="A931" s="15"/>
      <c r="B931" s="16"/>
      <c r="C931" s="17"/>
      <c r="D931" s="17"/>
      <c r="E931" s="32"/>
      <c r="F931" s="19"/>
      <c r="G931" s="20"/>
      <c r="H931" s="20"/>
      <c r="I931" s="21"/>
      <c r="J931" s="21"/>
      <c r="K931" s="22"/>
      <c r="L931" s="23"/>
    </row>
    <row r="932" hidden="1">
      <c r="A932" s="6"/>
      <c r="B932" s="7"/>
      <c r="C932" s="8"/>
      <c r="D932" s="8"/>
      <c r="E932" s="32"/>
      <c r="F932" s="10"/>
      <c r="G932" s="11"/>
      <c r="H932" s="11"/>
      <c r="I932" s="12"/>
      <c r="J932" s="12"/>
      <c r="K932" s="13"/>
      <c r="L932" s="14"/>
    </row>
    <row r="933" hidden="1">
      <c r="A933" s="15"/>
      <c r="B933" s="16"/>
      <c r="C933" s="17"/>
      <c r="D933" s="17"/>
      <c r="E933" s="32"/>
      <c r="F933" s="19"/>
      <c r="G933" s="20"/>
      <c r="H933" s="20"/>
      <c r="I933" s="21"/>
      <c r="J933" s="21"/>
      <c r="K933" s="22"/>
      <c r="L933" s="23"/>
    </row>
    <row r="934" hidden="1">
      <c r="A934" s="6"/>
      <c r="B934" s="7"/>
      <c r="C934" s="8"/>
      <c r="D934" s="8"/>
      <c r="E934" s="32"/>
      <c r="F934" s="10"/>
      <c r="G934" s="11"/>
      <c r="H934" s="11"/>
      <c r="I934" s="12"/>
      <c r="J934" s="12"/>
      <c r="K934" s="13"/>
      <c r="L934" s="14"/>
    </row>
    <row r="935" hidden="1">
      <c r="A935" s="15"/>
      <c r="B935" s="16"/>
      <c r="C935" s="17"/>
      <c r="D935" s="17"/>
      <c r="E935" s="32"/>
      <c r="F935" s="19"/>
      <c r="G935" s="20"/>
      <c r="H935" s="20"/>
      <c r="I935" s="21"/>
      <c r="J935" s="21"/>
      <c r="K935" s="22"/>
      <c r="L935" s="23"/>
    </row>
    <row r="936" hidden="1">
      <c r="A936" s="6"/>
      <c r="B936" s="7"/>
      <c r="C936" s="8"/>
      <c r="D936" s="8"/>
      <c r="E936" s="32"/>
      <c r="F936" s="10"/>
      <c r="G936" s="11"/>
      <c r="H936" s="11"/>
      <c r="I936" s="12"/>
      <c r="J936" s="12"/>
      <c r="K936" s="13"/>
      <c r="L936" s="14"/>
    </row>
    <row r="937" hidden="1">
      <c r="A937" s="15"/>
      <c r="B937" s="16"/>
      <c r="C937" s="17"/>
      <c r="D937" s="17"/>
      <c r="E937" s="32"/>
      <c r="F937" s="19"/>
      <c r="G937" s="20"/>
      <c r="H937" s="20"/>
      <c r="I937" s="21"/>
      <c r="J937" s="21"/>
      <c r="K937" s="22"/>
      <c r="L937" s="23"/>
    </row>
    <row r="938" hidden="1">
      <c r="A938" s="6"/>
      <c r="B938" s="7"/>
      <c r="C938" s="8"/>
      <c r="D938" s="8"/>
      <c r="E938" s="32"/>
      <c r="F938" s="10"/>
      <c r="G938" s="11"/>
      <c r="H938" s="11"/>
      <c r="I938" s="12"/>
      <c r="J938" s="12"/>
      <c r="K938" s="13"/>
      <c r="L938" s="14"/>
    </row>
    <row r="939" hidden="1">
      <c r="A939" s="15"/>
      <c r="B939" s="16"/>
      <c r="C939" s="17"/>
      <c r="D939" s="17"/>
      <c r="E939" s="32"/>
      <c r="F939" s="19"/>
      <c r="G939" s="20"/>
      <c r="H939" s="20"/>
      <c r="I939" s="21"/>
      <c r="J939" s="21"/>
      <c r="K939" s="22"/>
      <c r="L939" s="23"/>
    </row>
    <row r="940" hidden="1">
      <c r="A940" s="6"/>
      <c r="B940" s="7"/>
      <c r="C940" s="8"/>
      <c r="D940" s="8"/>
      <c r="E940" s="32"/>
      <c r="F940" s="10"/>
      <c r="G940" s="11"/>
      <c r="H940" s="11"/>
      <c r="I940" s="12"/>
      <c r="J940" s="12"/>
      <c r="K940" s="13"/>
      <c r="L940" s="14"/>
    </row>
    <row r="941" hidden="1">
      <c r="A941" s="15"/>
      <c r="B941" s="16"/>
      <c r="C941" s="17"/>
      <c r="D941" s="17"/>
      <c r="E941" s="32"/>
      <c r="F941" s="19"/>
      <c r="G941" s="20"/>
      <c r="H941" s="20"/>
      <c r="I941" s="21"/>
      <c r="J941" s="21"/>
      <c r="K941" s="22"/>
      <c r="L941" s="23"/>
    </row>
    <row r="942" hidden="1">
      <c r="A942" s="6"/>
      <c r="B942" s="7"/>
      <c r="C942" s="8"/>
      <c r="D942" s="8"/>
      <c r="E942" s="32"/>
      <c r="F942" s="10"/>
      <c r="G942" s="11"/>
      <c r="H942" s="11"/>
      <c r="I942" s="12"/>
      <c r="J942" s="12"/>
      <c r="K942" s="13"/>
      <c r="L942" s="14"/>
    </row>
    <row r="943" hidden="1">
      <c r="A943" s="15"/>
      <c r="B943" s="16"/>
      <c r="C943" s="17"/>
      <c r="D943" s="17"/>
      <c r="E943" s="32"/>
      <c r="F943" s="19"/>
      <c r="G943" s="20"/>
      <c r="H943" s="20"/>
      <c r="I943" s="21"/>
      <c r="J943" s="21"/>
      <c r="K943" s="22"/>
      <c r="L943" s="23"/>
    </row>
    <row r="944" hidden="1">
      <c r="A944" s="6"/>
      <c r="B944" s="7"/>
      <c r="C944" s="8"/>
      <c r="D944" s="8"/>
      <c r="E944" s="32"/>
      <c r="F944" s="10"/>
      <c r="G944" s="11"/>
      <c r="H944" s="11"/>
      <c r="I944" s="12"/>
      <c r="J944" s="12"/>
      <c r="K944" s="13"/>
      <c r="L944" s="14"/>
    </row>
    <row r="945" hidden="1">
      <c r="A945" s="15"/>
      <c r="B945" s="16"/>
      <c r="C945" s="17"/>
      <c r="D945" s="17"/>
      <c r="E945" s="32"/>
      <c r="F945" s="19"/>
      <c r="G945" s="20"/>
      <c r="H945" s="20"/>
      <c r="I945" s="21"/>
      <c r="J945" s="21"/>
      <c r="K945" s="22"/>
      <c r="L945" s="23"/>
    </row>
    <row r="946" hidden="1">
      <c r="A946" s="6"/>
      <c r="B946" s="7"/>
      <c r="C946" s="8"/>
      <c r="D946" s="8"/>
      <c r="E946" s="32"/>
      <c r="F946" s="10"/>
      <c r="G946" s="11"/>
      <c r="H946" s="11"/>
      <c r="I946" s="12"/>
      <c r="J946" s="12"/>
      <c r="K946" s="13"/>
      <c r="L946" s="14"/>
    </row>
    <row r="947" hidden="1">
      <c r="A947" s="15"/>
      <c r="B947" s="16"/>
      <c r="C947" s="17"/>
      <c r="D947" s="17"/>
      <c r="E947" s="32"/>
      <c r="F947" s="19"/>
      <c r="G947" s="20"/>
      <c r="H947" s="20"/>
      <c r="I947" s="21"/>
      <c r="J947" s="21"/>
      <c r="K947" s="22"/>
      <c r="L947" s="23"/>
    </row>
    <row r="948" hidden="1">
      <c r="A948" s="6"/>
      <c r="B948" s="7"/>
      <c r="C948" s="8"/>
      <c r="D948" s="8"/>
      <c r="E948" s="32"/>
      <c r="F948" s="10"/>
      <c r="G948" s="11"/>
      <c r="H948" s="11"/>
      <c r="I948" s="12"/>
      <c r="J948" s="12"/>
      <c r="K948" s="13"/>
      <c r="L948" s="14"/>
    </row>
    <row r="949" hidden="1">
      <c r="A949" s="15"/>
      <c r="B949" s="16"/>
      <c r="C949" s="17"/>
      <c r="D949" s="17"/>
      <c r="E949" s="32"/>
      <c r="F949" s="19"/>
      <c r="G949" s="20"/>
      <c r="H949" s="20"/>
      <c r="I949" s="21"/>
      <c r="J949" s="21"/>
      <c r="K949" s="22"/>
      <c r="L949" s="23"/>
    </row>
    <row r="950" hidden="1">
      <c r="A950" s="6"/>
      <c r="B950" s="7"/>
      <c r="C950" s="8"/>
      <c r="D950" s="8"/>
      <c r="E950" s="32"/>
      <c r="F950" s="10"/>
      <c r="G950" s="11"/>
      <c r="H950" s="11"/>
      <c r="I950" s="12"/>
      <c r="J950" s="12"/>
      <c r="K950" s="13"/>
      <c r="L950" s="14"/>
    </row>
    <row r="951" hidden="1">
      <c r="A951" s="15"/>
      <c r="B951" s="16"/>
      <c r="C951" s="17"/>
      <c r="D951" s="17"/>
      <c r="E951" s="32"/>
      <c r="F951" s="19"/>
      <c r="G951" s="20"/>
      <c r="H951" s="20"/>
      <c r="I951" s="21"/>
      <c r="J951" s="21"/>
      <c r="K951" s="22"/>
      <c r="L951" s="23"/>
    </row>
    <row r="952" hidden="1">
      <c r="A952" s="6"/>
      <c r="B952" s="7"/>
      <c r="C952" s="8"/>
      <c r="D952" s="8"/>
      <c r="E952" s="32"/>
      <c r="F952" s="10"/>
      <c r="G952" s="11"/>
      <c r="H952" s="11"/>
      <c r="I952" s="12"/>
      <c r="J952" s="12"/>
      <c r="K952" s="13"/>
      <c r="L952" s="14"/>
    </row>
    <row r="953" hidden="1">
      <c r="A953" s="15"/>
      <c r="B953" s="16"/>
      <c r="C953" s="17"/>
      <c r="D953" s="17"/>
      <c r="E953" s="32"/>
      <c r="F953" s="19"/>
      <c r="G953" s="20"/>
      <c r="H953" s="20"/>
      <c r="I953" s="21"/>
      <c r="J953" s="21"/>
      <c r="K953" s="22"/>
      <c r="L953" s="23"/>
    </row>
    <row r="954" hidden="1">
      <c r="A954" s="6"/>
      <c r="B954" s="7"/>
      <c r="C954" s="8"/>
      <c r="D954" s="8"/>
      <c r="E954" s="32"/>
      <c r="F954" s="10"/>
      <c r="G954" s="11"/>
      <c r="H954" s="11"/>
      <c r="I954" s="12"/>
      <c r="J954" s="12"/>
      <c r="K954" s="13"/>
      <c r="L954" s="14"/>
    </row>
    <row r="955" hidden="1">
      <c r="A955" s="15"/>
      <c r="B955" s="16"/>
      <c r="C955" s="17"/>
      <c r="D955" s="17"/>
      <c r="E955" s="32"/>
      <c r="F955" s="19"/>
      <c r="G955" s="20"/>
      <c r="H955" s="20"/>
      <c r="I955" s="21"/>
      <c r="J955" s="21"/>
      <c r="K955" s="22"/>
      <c r="L955" s="23"/>
    </row>
    <row r="956" hidden="1">
      <c r="A956" s="6"/>
      <c r="B956" s="7"/>
      <c r="C956" s="8"/>
      <c r="D956" s="8"/>
      <c r="E956" s="32"/>
      <c r="F956" s="10"/>
      <c r="G956" s="11"/>
      <c r="H956" s="11"/>
      <c r="I956" s="12"/>
      <c r="J956" s="12"/>
      <c r="K956" s="13"/>
      <c r="L956" s="14"/>
    </row>
    <row r="957" hidden="1">
      <c r="A957" s="15"/>
      <c r="B957" s="16"/>
      <c r="C957" s="17"/>
      <c r="D957" s="17"/>
      <c r="E957" s="32"/>
      <c r="F957" s="19"/>
      <c r="G957" s="20"/>
      <c r="H957" s="20"/>
      <c r="I957" s="21"/>
      <c r="J957" s="21"/>
      <c r="K957" s="22"/>
      <c r="L957" s="23"/>
    </row>
    <row r="958" hidden="1">
      <c r="A958" s="6"/>
      <c r="B958" s="7"/>
      <c r="C958" s="8"/>
      <c r="D958" s="8"/>
      <c r="E958" s="32"/>
      <c r="F958" s="10"/>
      <c r="G958" s="11"/>
      <c r="H958" s="11"/>
      <c r="I958" s="12"/>
      <c r="J958" s="12"/>
      <c r="K958" s="13"/>
      <c r="L958" s="14"/>
    </row>
    <row r="959" hidden="1">
      <c r="A959" s="15"/>
      <c r="B959" s="16"/>
      <c r="C959" s="17"/>
      <c r="D959" s="17"/>
      <c r="E959" s="32"/>
      <c r="F959" s="19"/>
      <c r="G959" s="20"/>
      <c r="H959" s="20"/>
      <c r="I959" s="21"/>
      <c r="J959" s="21"/>
      <c r="K959" s="22"/>
      <c r="L959" s="23"/>
    </row>
    <row r="960" hidden="1">
      <c r="A960" s="6"/>
      <c r="B960" s="7"/>
      <c r="C960" s="8"/>
      <c r="D960" s="8"/>
      <c r="E960" s="32"/>
      <c r="F960" s="10"/>
      <c r="G960" s="11"/>
      <c r="H960" s="11"/>
      <c r="I960" s="12"/>
      <c r="J960" s="12"/>
      <c r="K960" s="13"/>
      <c r="L960" s="14"/>
    </row>
    <row r="961" hidden="1">
      <c r="A961" s="15"/>
      <c r="B961" s="16"/>
      <c r="C961" s="17"/>
      <c r="D961" s="17"/>
      <c r="E961" s="32"/>
      <c r="F961" s="19"/>
      <c r="G961" s="20"/>
      <c r="H961" s="20"/>
      <c r="I961" s="21"/>
      <c r="J961" s="21"/>
      <c r="K961" s="22"/>
      <c r="L961" s="23"/>
    </row>
    <row r="962" hidden="1">
      <c r="A962" s="6"/>
      <c r="B962" s="7"/>
      <c r="C962" s="8"/>
      <c r="D962" s="8"/>
      <c r="E962" s="32"/>
      <c r="F962" s="10"/>
      <c r="G962" s="11"/>
      <c r="H962" s="11"/>
      <c r="I962" s="12"/>
      <c r="J962" s="12"/>
      <c r="K962" s="13"/>
      <c r="L962" s="14"/>
    </row>
    <row r="963" hidden="1">
      <c r="A963" s="15"/>
      <c r="B963" s="16"/>
      <c r="C963" s="17"/>
      <c r="D963" s="17"/>
      <c r="E963" s="32"/>
      <c r="F963" s="19"/>
      <c r="G963" s="20"/>
      <c r="H963" s="20"/>
      <c r="I963" s="21"/>
      <c r="J963" s="21"/>
      <c r="K963" s="22"/>
      <c r="L963" s="23"/>
    </row>
    <row r="964" hidden="1">
      <c r="A964" s="6"/>
      <c r="B964" s="7"/>
      <c r="C964" s="8"/>
      <c r="D964" s="8"/>
      <c r="E964" s="32"/>
      <c r="F964" s="10"/>
      <c r="G964" s="11"/>
      <c r="H964" s="11"/>
      <c r="I964" s="12"/>
      <c r="J964" s="12"/>
      <c r="K964" s="13"/>
      <c r="L964" s="14"/>
    </row>
    <row r="965" hidden="1">
      <c r="A965" s="15"/>
      <c r="B965" s="16"/>
      <c r="C965" s="17"/>
      <c r="D965" s="17"/>
      <c r="E965" s="32"/>
      <c r="F965" s="19"/>
      <c r="G965" s="20"/>
      <c r="H965" s="20"/>
      <c r="I965" s="21"/>
      <c r="J965" s="21"/>
      <c r="K965" s="22"/>
      <c r="L965" s="23"/>
    </row>
    <row r="966" hidden="1">
      <c r="A966" s="6"/>
      <c r="B966" s="7"/>
      <c r="C966" s="8"/>
      <c r="D966" s="8"/>
      <c r="E966" s="32"/>
      <c r="F966" s="10"/>
      <c r="G966" s="11"/>
      <c r="H966" s="11"/>
      <c r="I966" s="12"/>
      <c r="J966" s="12"/>
      <c r="K966" s="13"/>
      <c r="L966" s="14"/>
    </row>
    <row r="967" hidden="1">
      <c r="A967" s="15"/>
      <c r="B967" s="16"/>
      <c r="C967" s="17"/>
      <c r="D967" s="17"/>
      <c r="E967" s="32"/>
      <c r="F967" s="19"/>
      <c r="G967" s="20"/>
      <c r="H967" s="20"/>
      <c r="I967" s="21"/>
      <c r="J967" s="21"/>
      <c r="K967" s="22"/>
      <c r="L967" s="23"/>
    </row>
    <row r="968" hidden="1">
      <c r="A968" s="6"/>
      <c r="B968" s="7"/>
      <c r="C968" s="8"/>
      <c r="D968" s="8"/>
      <c r="E968" s="32"/>
      <c r="F968" s="10"/>
      <c r="G968" s="11"/>
      <c r="H968" s="11"/>
      <c r="I968" s="12"/>
      <c r="J968" s="12"/>
      <c r="K968" s="13"/>
      <c r="L968" s="14"/>
    </row>
    <row r="969" hidden="1">
      <c r="A969" s="15"/>
      <c r="B969" s="16"/>
      <c r="C969" s="17"/>
      <c r="D969" s="17"/>
      <c r="E969" s="32"/>
      <c r="F969" s="19"/>
      <c r="G969" s="20"/>
      <c r="H969" s="20"/>
      <c r="I969" s="21"/>
      <c r="J969" s="21"/>
      <c r="K969" s="22"/>
      <c r="L969" s="23"/>
    </row>
    <row r="970" hidden="1">
      <c r="A970" s="6"/>
      <c r="B970" s="7"/>
      <c r="C970" s="8"/>
      <c r="D970" s="8"/>
      <c r="E970" s="32"/>
      <c r="F970" s="10"/>
      <c r="G970" s="11"/>
      <c r="H970" s="11"/>
      <c r="I970" s="12"/>
      <c r="J970" s="12"/>
      <c r="K970" s="13"/>
      <c r="L970" s="14"/>
    </row>
    <row r="971" hidden="1">
      <c r="A971" s="15"/>
      <c r="B971" s="16"/>
      <c r="C971" s="17"/>
      <c r="D971" s="17"/>
      <c r="E971" s="32"/>
      <c r="F971" s="19"/>
      <c r="G971" s="20"/>
      <c r="H971" s="20"/>
      <c r="I971" s="21"/>
      <c r="J971" s="21"/>
      <c r="K971" s="22"/>
      <c r="L971" s="23"/>
    </row>
    <row r="972" hidden="1">
      <c r="A972" s="6"/>
      <c r="B972" s="7"/>
      <c r="C972" s="8"/>
      <c r="D972" s="8"/>
      <c r="E972" s="32"/>
      <c r="F972" s="10"/>
      <c r="G972" s="11"/>
      <c r="H972" s="11"/>
      <c r="I972" s="12"/>
      <c r="J972" s="12"/>
      <c r="K972" s="13"/>
      <c r="L972" s="14"/>
    </row>
    <row r="973" hidden="1">
      <c r="A973" s="15"/>
      <c r="B973" s="16"/>
      <c r="C973" s="17"/>
      <c r="D973" s="17"/>
      <c r="E973" s="32"/>
      <c r="F973" s="19"/>
      <c r="G973" s="20"/>
      <c r="H973" s="20"/>
      <c r="I973" s="21"/>
      <c r="J973" s="21"/>
      <c r="K973" s="22"/>
      <c r="L973" s="23"/>
    </row>
    <row r="974" hidden="1">
      <c r="A974" s="6"/>
      <c r="B974" s="7"/>
      <c r="C974" s="8"/>
      <c r="D974" s="8"/>
      <c r="E974" s="32"/>
      <c r="F974" s="10"/>
      <c r="G974" s="11"/>
      <c r="H974" s="11"/>
      <c r="I974" s="12"/>
      <c r="J974" s="12"/>
      <c r="K974" s="13"/>
      <c r="L974" s="14"/>
    </row>
    <row r="975" hidden="1">
      <c r="A975" s="15"/>
      <c r="B975" s="16"/>
      <c r="C975" s="17"/>
      <c r="D975" s="17"/>
      <c r="E975" s="32"/>
      <c r="F975" s="19"/>
      <c r="G975" s="20"/>
      <c r="H975" s="20"/>
      <c r="I975" s="21"/>
      <c r="J975" s="21"/>
      <c r="K975" s="22"/>
      <c r="L975" s="23"/>
    </row>
    <row r="976" hidden="1">
      <c r="A976" s="6"/>
      <c r="B976" s="7"/>
      <c r="C976" s="8"/>
      <c r="D976" s="8"/>
      <c r="E976" s="32"/>
      <c r="F976" s="10"/>
      <c r="G976" s="11"/>
      <c r="H976" s="11"/>
      <c r="I976" s="12"/>
      <c r="J976" s="12"/>
      <c r="K976" s="13"/>
      <c r="L976" s="14"/>
    </row>
    <row r="977" hidden="1">
      <c r="A977" s="15"/>
      <c r="B977" s="16"/>
      <c r="C977" s="17"/>
      <c r="D977" s="17"/>
      <c r="E977" s="32"/>
      <c r="F977" s="19"/>
      <c r="G977" s="20"/>
      <c r="H977" s="20"/>
      <c r="I977" s="21"/>
      <c r="J977" s="21"/>
      <c r="K977" s="22"/>
      <c r="L977" s="23"/>
    </row>
    <row r="978" hidden="1">
      <c r="A978" s="6"/>
      <c r="B978" s="7"/>
      <c r="C978" s="8"/>
      <c r="D978" s="8"/>
      <c r="E978" s="32"/>
      <c r="F978" s="10"/>
      <c r="G978" s="11"/>
      <c r="H978" s="11"/>
      <c r="I978" s="12"/>
      <c r="J978" s="12"/>
      <c r="K978" s="13"/>
      <c r="L978" s="14"/>
    </row>
    <row r="979" hidden="1">
      <c r="A979" s="15"/>
      <c r="B979" s="16"/>
      <c r="C979" s="17"/>
      <c r="D979" s="17"/>
      <c r="E979" s="32"/>
      <c r="F979" s="19"/>
      <c r="G979" s="20"/>
      <c r="H979" s="20"/>
      <c r="I979" s="21"/>
      <c r="J979" s="21"/>
      <c r="K979" s="22"/>
      <c r="L979" s="23"/>
    </row>
    <row r="980" hidden="1">
      <c r="A980" s="6"/>
      <c r="B980" s="7"/>
      <c r="C980" s="8"/>
      <c r="D980" s="8"/>
      <c r="E980" s="32"/>
      <c r="F980" s="10"/>
      <c r="G980" s="11"/>
      <c r="H980" s="11"/>
      <c r="I980" s="12"/>
      <c r="J980" s="12"/>
      <c r="K980" s="13"/>
      <c r="L980" s="14"/>
    </row>
    <row r="981" hidden="1">
      <c r="A981" s="15"/>
      <c r="B981" s="16"/>
      <c r="C981" s="17"/>
      <c r="D981" s="17"/>
      <c r="E981" s="32"/>
      <c r="F981" s="19"/>
      <c r="G981" s="20"/>
      <c r="H981" s="20"/>
      <c r="I981" s="21"/>
      <c r="J981" s="21"/>
      <c r="K981" s="22"/>
      <c r="L981" s="23"/>
    </row>
    <row r="982" hidden="1">
      <c r="A982" s="6"/>
      <c r="B982" s="7"/>
      <c r="C982" s="8"/>
      <c r="D982" s="8"/>
      <c r="E982" s="32"/>
      <c r="F982" s="10"/>
      <c r="G982" s="11"/>
      <c r="H982" s="11"/>
      <c r="I982" s="12"/>
      <c r="J982" s="12"/>
      <c r="K982" s="13"/>
      <c r="L982" s="14"/>
    </row>
    <row r="983" hidden="1">
      <c r="A983" s="15"/>
      <c r="B983" s="16"/>
      <c r="C983" s="17"/>
      <c r="D983" s="17"/>
      <c r="E983" s="32"/>
      <c r="F983" s="19"/>
      <c r="G983" s="20"/>
      <c r="H983" s="20"/>
      <c r="I983" s="21"/>
      <c r="J983" s="21"/>
      <c r="K983" s="22"/>
      <c r="L983" s="23"/>
    </row>
    <row r="984" hidden="1">
      <c r="A984" s="6"/>
      <c r="B984" s="7"/>
      <c r="C984" s="8"/>
      <c r="D984" s="8"/>
      <c r="E984" s="32"/>
      <c r="F984" s="10"/>
      <c r="G984" s="11"/>
      <c r="H984" s="11"/>
      <c r="I984" s="12"/>
      <c r="J984" s="12"/>
      <c r="K984" s="13"/>
      <c r="L984" s="14"/>
    </row>
    <row r="985" hidden="1">
      <c r="A985" s="15"/>
      <c r="B985" s="16"/>
      <c r="C985" s="17"/>
      <c r="D985" s="17"/>
      <c r="E985" s="32"/>
      <c r="F985" s="19"/>
      <c r="G985" s="20"/>
      <c r="H985" s="20"/>
      <c r="I985" s="21"/>
      <c r="J985" s="21"/>
      <c r="K985" s="22"/>
      <c r="L985" s="23"/>
    </row>
    <row r="986" hidden="1">
      <c r="A986" s="6"/>
      <c r="B986" s="7"/>
      <c r="C986" s="8"/>
      <c r="D986" s="8"/>
      <c r="E986" s="32"/>
      <c r="F986" s="10"/>
      <c r="G986" s="11"/>
      <c r="H986" s="11"/>
      <c r="I986" s="12"/>
      <c r="J986" s="12"/>
      <c r="K986" s="13"/>
      <c r="L986" s="14"/>
    </row>
    <row r="987" hidden="1">
      <c r="A987" s="15"/>
      <c r="B987" s="16"/>
      <c r="C987" s="17"/>
      <c r="D987" s="17"/>
      <c r="E987" s="32"/>
      <c r="F987" s="19"/>
      <c r="G987" s="20"/>
      <c r="H987" s="20"/>
      <c r="I987" s="21"/>
      <c r="J987" s="21"/>
      <c r="K987" s="22"/>
      <c r="L987" s="23"/>
    </row>
    <row r="988" hidden="1">
      <c r="A988" s="6"/>
      <c r="B988" s="7"/>
      <c r="C988" s="8"/>
      <c r="D988" s="8"/>
      <c r="E988" s="32"/>
      <c r="F988" s="10"/>
      <c r="G988" s="11"/>
      <c r="H988" s="11"/>
      <c r="I988" s="12"/>
      <c r="J988" s="12"/>
      <c r="K988" s="13"/>
      <c r="L988" s="14"/>
    </row>
    <row r="989" hidden="1">
      <c r="A989" s="15"/>
      <c r="B989" s="16"/>
      <c r="C989" s="17"/>
      <c r="D989" s="17"/>
      <c r="E989" s="32"/>
      <c r="F989" s="19"/>
      <c r="G989" s="20"/>
      <c r="H989" s="20"/>
      <c r="I989" s="21"/>
      <c r="J989" s="21"/>
      <c r="K989" s="22"/>
      <c r="L989" s="23"/>
    </row>
    <row r="990" hidden="1">
      <c r="A990" s="6"/>
      <c r="B990" s="7"/>
      <c r="C990" s="8"/>
      <c r="D990" s="8"/>
      <c r="E990" s="32"/>
      <c r="F990" s="10"/>
      <c r="G990" s="11"/>
      <c r="H990" s="11"/>
      <c r="I990" s="12"/>
      <c r="J990" s="12"/>
      <c r="K990" s="13"/>
      <c r="L990" s="14"/>
    </row>
    <row r="991" hidden="1">
      <c r="A991" s="15"/>
      <c r="B991" s="16"/>
      <c r="C991" s="17"/>
      <c r="D991" s="17"/>
      <c r="E991" s="32"/>
      <c r="F991" s="19"/>
      <c r="G991" s="20"/>
      <c r="H991" s="20"/>
      <c r="I991" s="21"/>
      <c r="J991" s="21"/>
      <c r="K991" s="22"/>
      <c r="L991" s="23"/>
    </row>
    <row r="992" hidden="1">
      <c r="A992" s="6"/>
      <c r="B992" s="7"/>
      <c r="C992" s="8"/>
      <c r="D992" s="8"/>
      <c r="E992" s="32"/>
      <c r="F992" s="10"/>
      <c r="G992" s="11"/>
      <c r="H992" s="11"/>
      <c r="I992" s="12"/>
      <c r="J992" s="12"/>
      <c r="K992" s="13"/>
      <c r="L992" s="14"/>
    </row>
    <row r="993" hidden="1">
      <c r="A993" s="15"/>
      <c r="B993" s="16"/>
      <c r="C993" s="17"/>
      <c r="D993" s="17"/>
      <c r="E993" s="32"/>
      <c r="F993" s="19"/>
      <c r="G993" s="20"/>
      <c r="H993" s="20"/>
      <c r="I993" s="21"/>
      <c r="J993" s="21"/>
      <c r="K993" s="22"/>
      <c r="L993" s="23"/>
    </row>
    <row r="994" hidden="1">
      <c r="A994" s="6"/>
      <c r="B994" s="7"/>
      <c r="C994" s="8"/>
      <c r="D994" s="8"/>
      <c r="E994" s="32"/>
      <c r="F994" s="10"/>
      <c r="G994" s="11"/>
      <c r="H994" s="11"/>
      <c r="I994" s="12"/>
      <c r="J994" s="12"/>
      <c r="K994" s="13"/>
      <c r="L994" s="14"/>
    </row>
    <row r="995" hidden="1">
      <c r="A995" s="15"/>
      <c r="B995" s="16"/>
      <c r="C995" s="17"/>
      <c r="D995" s="17"/>
      <c r="E995" s="32"/>
      <c r="F995" s="19"/>
      <c r="G995" s="20"/>
      <c r="H995" s="20"/>
      <c r="I995" s="21"/>
      <c r="J995" s="21"/>
      <c r="K995" s="22"/>
      <c r="L995" s="23"/>
    </row>
    <row r="996" hidden="1">
      <c r="A996" s="6"/>
      <c r="B996" s="7"/>
      <c r="C996" s="8"/>
      <c r="D996" s="8"/>
      <c r="E996" s="32"/>
      <c r="F996" s="10"/>
      <c r="G996" s="11"/>
      <c r="H996" s="11"/>
      <c r="I996" s="12"/>
      <c r="J996" s="12"/>
      <c r="K996" s="13"/>
      <c r="L996" s="14"/>
    </row>
    <row r="997" hidden="1">
      <c r="A997" s="15"/>
      <c r="B997" s="16"/>
      <c r="C997" s="17"/>
      <c r="D997" s="17"/>
      <c r="E997" s="32"/>
      <c r="F997" s="19"/>
      <c r="G997" s="20"/>
      <c r="H997" s="20"/>
      <c r="I997" s="21"/>
      <c r="J997" s="21"/>
      <c r="K997" s="22"/>
      <c r="L997" s="23"/>
    </row>
    <row r="998" hidden="1">
      <c r="A998" s="6"/>
      <c r="B998" s="7"/>
      <c r="C998" s="8"/>
      <c r="D998" s="8"/>
      <c r="E998" s="32"/>
      <c r="F998" s="10"/>
      <c r="G998" s="11"/>
      <c r="H998" s="11"/>
      <c r="I998" s="12"/>
      <c r="J998" s="12"/>
      <c r="K998" s="13"/>
      <c r="L998" s="14"/>
    </row>
    <row r="999" hidden="1">
      <c r="A999" s="15"/>
      <c r="B999" s="16"/>
      <c r="C999" s="17"/>
      <c r="D999" s="17"/>
      <c r="E999" s="32"/>
      <c r="F999" s="19"/>
      <c r="G999" s="20"/>
      <c r="H999" s="20"/>
      <c r="I999" s="21"/>
      <c r="J999" s="21"/>
      <c r="K999" s="22"/>
      <c r="L999" s="23"/>
    </row>
    <row r="1000" hidden="1">
      <c r="A1000" s="6"/>
      <c r="B1000" s="7"/>
      <c r="C1000" s="8"/>
      <c r="D1000" s="8"/>
      <c r="E1000" s="32"/>
      <c r="F1000" s="10"/>
      <c r="G1000" s="11"/>
      <c r="H1000" s="11"/>
      <c r="I1000" s="12"/>
      <c r="J1000" s="12"/>
      <c r="K1000" s="13"/>
      <c r="L1000" s="14"/>
    </row>
    <row r="1001" hidden="1">
      <c r="A1001" s="15"/>
      <c r="B1001" s="16"/>
      <c r="C1001" s="17"/>
      <c r="D1001" s="17"/>
      <c r="E1001" s="32"/>
      <c r="F1001" s="19"/>
      <c r="G1001" s="20"/>
      <c r="H1001" s="20"/>
      <c r="I1001" s="21"/>
      <c r="J1001" s="21"/>
      <c r="K1001" s="22"/>
      <c r="L1001" s="23"/>
    </row>
    <row r="1002" hidden="1">
      <c r="A1002" s="6"/>
      <c r="B1002" s="7"/>
      <c r="C1002" s="8"/>
      <c r="D1002" s="8"/>
      <c r="E1002" s="32"/>
      <c r="F1002" s="10"/>
      <c r="G1002" s="11"/>
      <c r="H1002" s="11"/>
      <c r="I1002" s="12"/>
      <c r="J1002" s="12"/>
      <c r="K1002" s="13"/>
      <c r="L1002" s="14"/>
    </row>
    <row r="1003" hidden="1">
      <c r="A1003" s="15"/>
      <c r="B1003" s="16"/>
      <c r="C1003" s="17"/>
      <c r="D1003" s="17"/>
      <c r="E1003" s="32"/>
      <c r="F1003" s="19"/>
      <c r="G1003" s="20"/>
      <c r="H1003" s="20"/>
      <c r="I1003" s="21"/>
      <c r="J1003" s="21"/>
      <c r="K1003" s="22"/>
      <c r="L1003" s="23"/>
    </row>
    <row r="1004" hidden="1">
      <c r="A1004" s="6"/>
      <c r="B1004" s="7"/>
      <c r="C1004" s="8"/>
      <c r="D1004" s="8"/>
      <c r="E1004" s="32"/>
      <c r="F1004" s="10"/>
      <c r="G1004" s="11"/>
      <c r="H1004" s="11"/>
      <c r="I1004" s="12"/>
      <c r="J1004" s="12"/>
      <c r="K1004" s="13"/>
      <c r="L1004" s="14"/>
    </row>
    <row r="1005" hidden="1">
      <c r="A1005" s="15"/>
      <c r="B1005" s="16"/>
      <c r="C1005" s="17"/>
      <c r="D1005" s="17"/>
      <c r="E1005" s="32"/>
      <c r="F1005" s="19"/>
      <c r="G1005" s="20"/>
      <c r="H1005" s="20"/>
      <c r="I1005" s="21"/>
      <c r="J1005" s="21"/>
      <c r="K1005" s="22"/>
      <c r="L1005" s="23"/>
    </row>
    <row r="1006" hidden="1">
      <c r="A1006" s="6"/>
      <c r="B1006" s="7"/>
      <c r="C1006" s="8"/>
      <c r="D1006" s="8"/>
      <c r="E1006" s="32"/>
      <c r="F1006" s="10"/>
      <c r="G1006" s="11"/>
      <c r="H1006" s="11"/>
      <c r="I1006" s="12"/>
      <c r="J1006" s="12"/>
      <c r="K1006" s="13"/>
      <c r="L1006" s="14"/>
    </row>
    <row r="1007" hidden="1">
      <c r="A1007" s="15"/>
      <c r="B1007" s="16"/>
      <c r="C1007" s="17"/>
      <c r="D1007" s="17"/>
      <c r="E1007" s="32"/>
      <c r="F1007" s="19"/>
      <c r="G1007" s="20"/>
      <c r="H1007" s="20"/>
      <c r="I1007" s="21"/>
      <c r="J1007" s="21"/>
      <c r="K1007" s="22"/>
      <c r="L1007" s="23"/>
    </row>
    <row r="1008" hidden="1">
      <c r="A1008" s="6"/>
      <c r="B1008" s="7"/>
      <c r="C1008" s="8"/>
      <c r="D1008" s="8"/>
      <c r="E1008" s="32"/>
      <c r="F1008" s="10"/>
      <c r="G1008" s="11"/>
      <c r="H1008" s="11"/>
      <c r="I1008" s="12"/>
      <c r="J1008" s="12"/>
      <c r="K1008" s="13"/>
      <c r="L1008" s="14"/>
    </row>
    <row r="1009" hidden="1">
      <c r="A1009" s="15"/>
      <c r="B1009" s="16"/>
      <c r="C1009" s="17"/>
      <c r="D1009" s="17"/>
      <c r="E1009" s="32"/>
      <c r="F1009" s="19"/>
      <c r="G1009" s="20"/>
      <c r="H1009" s="20"/>
      <c r="I1009" s="21"/>
      <c r="J1009" s="21"/>
      <c r="K1009" s="22"/>
      <c r="L1009" s="23"/>
    </row>
    <row r="1010" hidden="1">
      <c r="A1010" s="6"/>
      <c r="B1010" s="7"/>
      <c r="C1010" s="8"/>
      <c r="D1010" s="8"/>
      <c r="E1010" s="32"/>
      <c r="F1010" s="10"/>
      <c r="G1010" s="11"/>
      <c r="H1010" s="11"/>
      <c r="I1010" s="12"/>
      <c r="J1010" s="12"/>
      <c r="K1010" s="13"/>
      <c r="L1010" s="14"/>
    </row>
    <row r="1011" hidden="1">
      <c r="A1011" s="15"/>
      <c r="B1011" s="16"/>
      <c r="C1011" s="17"/>
      <c r="D1011" s="17"/>
      <c r="E1011" s="32"/>
      <c r="F1011" s="19"/>
      <c r="G1011" s="20"/>
      <c r="H1011" s="20"/>
      <c r="I1011" s="21"/>
      <c r="J1011" s="21"/>
      <c r="K1011" s="22"/>
      <c r="L1011" s="23"/>
    </row>
    <row r="1012" hidden="1">
      <c r="A1012" s="6"/>
      <c r="B1012" s="7"/>
      <c r="C1012" s="8"/>
      <c r="D1012" s="8"/>
      <c r="E1012" s="32"/>
      <c r="F1012" s="10"/>
      <c r="G1012" s="11"/>
      <c r="H1012" s="11"/>
      <c r="I1012" s="12"/>
      <c r="J1012" s="12"/>
      <c r="K1012" s="13"/>
      <c r="L1012" s="14"/>
    </row>
    <row r="1013" hidden="1">
      <c r="A1013" s="15"/>
      <c r="B1013" s="16"/>
      <c r="C1013" s="17"/>
      <c r="D1013" s="17"/>
      <c r="E1013" s="32"/>
      <c r="F1013" s="19"/>
      <c r="G1013" s="20"/>
      <c r="H1013" s="20"/>
      <c r="I1013" s="21"/>
      <c r="J1013" s="21"/>
      <c r="K1013" s="22"/>
      <c r="L1013" s="23"/>
    </row>
    <row r="1014" hidden="1">
      <c r="A1014" s="6"/>
      <c r="B1014" s="7"/>
      <c r="C1014" s="8"/>
      <c r="D1014" s="8"/>
      <c r="E1014" s="32"/>
      <c r="F1014" s="10"/>
      <c r="G1014" s="11"/>
      <c r="H1014" s="11"/>
      <c r="I1014" s="12"/>
      <c r="J1014" s="12"/>
      <c r="K1014" s="13"/>
      <c r="L1014" s="14"/>
    </row>
    <row r="1015" hidden="1">
      <c r="A1015" s="15"/>
      <c r="B1015" s="16"/>
      <c r="C1015" s="17"/>
      <c r="D1015" s="17"/>
      <c r="E1015" s="32"/>
      <c r="F1015" s="19"/>
      <c r="G1015" s="20"/>
      <c r="H1015" s="20"/>
      <c r="I1015" s="21"/>
      <c r="J1015" s="21"/>
      <c r="K1015" s="22"/>
      <c r="L1015" s="23"/>
    </row>
    <row r="1016" hidden="1">
      <c r="A1016" s="6"/>
      <c r="B1016" s="7"/>
      <c r="C1016" s="8"/>
      <c r="D1016" s="8"/>
      <c r="E1016" s="32"/>
      <c r="F1016" s="10"/>
      <c r="G1016" s="11"/>
      <c r="H1016" s="11"/>
      <c r="I1016" s="12"/>
      <c r="J1016" s="12"/>
      <c r="K1016" s="13"/>
      <c r="L1016" s="14"/>
    </row>
    <row r="1017" hidden="1">
      <c r="A1017" s="15"/>
      <c r="B1017" s="16"/>
      <c r="C1017" s="17"/>
      <c r="D1017" s="17"/>
      <c r="E1017" s="32"/>
      <c r="F1017" s="19"/>
      <c r="G1017" s="20"/>
      <c r="H1017" s="20"/>
      <c r="I1017" s="21"/>
      <c r="J1017" s="21"/>
      <c r="K1017" s="22"/>
      <c r="L1017" s="23"/>
    </row>
    <row r="1018" hidden="1">
      <c r="A1018" s="6"/>
      <c r="B1018" s="7"/>
      <c r="C1018" s="8"/>
      <c r="D1018" s="8"/>
      <c r="E1018" s="32"/>
      <c r="F1018" s="10"/>
      <c r="G1018" s="11"/>
      <c r="H1018" s="11"/>
      <c r="I1018" s="12"/>
      <c r="J1018" s="12"/>
      <c r="K1018" s="13"/>
      <c r="L1018" s="14"/>
    </row>
    <row r="1019" hidden="1">
      <c r="A1019" s="15"/>
      <c r="B1019" s="16"/>
      <c r="C1019" s="17"/>
      <c r="D1019" s="17"/>
      <c r="E1019" s="32"/>
      <c r="F1019" s="19"/>
      <c r="G1019" s="20"/>
      <c r="H1019" s="20"/>
      <c r="I1019" s="21"/>
      <c r="J1019" s="21"/>
      <c r="K1019" s="22"/>
      <c r="L1019" s="23"/>
    </row>
    <row r="1020" hidden="1">
      <c r="A1020" s="6"/>
      <c r="B1020" s="7"/>
      <c r="C1020" s="8"/>
      <c r="D1020" s="8"/>
      <c r="E1020" s="32"/>
      <c r="F1020" s="10"/>
      <c r="G1020" s="11"/>
      <c r="H1020" s="11"/>
      <c r="I1020" s="12"/>
      <c r="J1020" s="12"/>
      <c r="K1020" s="13"/>
      <c r="L1020" s="14"/>
    </row>
    <row r="1021" hidden="1">
      <c r="A1021" s="15"/>
      <c r="B1021" s="16"/>
      <c r="C1021" s="17"/>
      <c r="D1021" s="17"/>
      <c r="E1021" s="32"/>
      <c r="F1021" s="19"/>
      <c r="G1021" s="20"/>
      <c r="H1021" s="20"/>
      <c r="I1021" s="21"/>
      <c r="J1021" s="21"/>
      <c r="K1021" s="22"/>
      <c r="L1021" s="23"/>
    </row>
    <row r="1022" hidden="1">
      <c r="A1022" s="6"/>
      <c r="B1022" s="7"/>
      <c r="C1022" s="8"/>
      <c r="D1022" s="8"/>
      <c r="E1022" s="32"/>
      <c r="F1022" s="10"/>
      <c r="G1022" s="11"/>
      <c r="H1022" s="11"/>
      <c r="I1022" s="12"/>
      <c r="J1022" s="12"/>
      <c r="K1022" s="13"/>
      <c r="L1022" s="14"/>
    </row>
    <row r="1023" hidden="1">
      <c r="A1023" s="15"/>
      <c r="B1023" s="16"/>
      <c r="C1023" s="17"/>
      <c r="D1023" s="17"/>
      <c r="E1023" s="32"/>
      <c r="F1023" s="19"/>
      <c r="G1023" s="20"/>
      <c r="H1023" s="20"/>
      <c r="I1023" s="21"/>
      <c r="J1023" s="21"/>
      <c r="K1023" s="22"/>
      <c r="L1023" s="23"/>
    </row>
    <row r="1024" hidden="1">
      <c r="A1024" s="6"/>
      <c r="B1024" s="7"/>
      <c r="C1024" s="8"/>
      <c r="D1024" s="8"/>
      <c r="E1024" s="32"/>
      <c r="F1024" s="10"/>
      <c r="G1024" s="11"/>
      <c r="H1024" s="11"/>
      <c r="I1024" s="12"/>
      <c r="J1024" s="12"/>
      <c r="K1024" s="13"/>
      <c r="L1024" s="14"/>
    </row>
    <row r="1025" hidden="1">
      <c r="A1025" s="15"/>
      <c r="B1025" s="16"/>
      <c r="C1025" s="17"/>
      <c r="D1025" s="17"/>
      <c r="E1025" s="32"/>
      <c r="F1025" s="19"/>
      <c r="G1025" s="20"/>
      <c r="H1025" s="20"/>
      <c r="I1025" s="21"/>
      <c r="J1025" s="21"/>
      <c r="K1025" s="22"/>
      <c r="L1025" s="23"/>
    </row>
    <row r="1026" hidden="1">
      <c r="A1026" s="6"/>
      <c r="B1026" s="7"/>
      <c r="C1026" s="8"/>
      <c r="D1026" s="8"/>
      <c r="E1026" s="32"/>
      <c r="F1026" s="10"/>
      <c r="G1026" s="11"/>
      <c r="H1026" s="11"/>
      <c r="I1026" s="12"/>
      <c r="J1026" s="12"/>
      <c r="K1026" s="13"/>
      <c r="L1026" s="14"/>
    </row>
    <row r="1027" hidden="1">
      <c r="A1027" s="15"/>
      <c r="B1027" s="16"/>
      <c r="C1027" s="17"/>
      <c r="D1027" s="17"/>
      <c r="E1027" s="32"/>
      <c r="F1027" s="19"/>
      <c r="G1027" s="20"/>
      <c r="H1027" s="20"/>
      <c r="I1027" s="21"/>
      <c r="J1027" s="21"/>
      <c r="K1027" s="22"/>
      <c r="L1027" s="23"/>
    </row>
    <row r="1028" hidden="1">
      <c r="A1028" s="6"/>
      <c r="B1028" s="7"/>
      <c r="C1028" s="8"/>
      <c r="D1028" s="8"/>
      <c r="E1028" s="32"/>
      <c r="F1028" s="10"/>
      <c r="G1028" s="11"/>
      <c r="H1028" s="11"/>
      <c r="I1028" s="12"/>
      <c r="J1028" s="12"/>
      <c r="K1028" s="13"/>
      <c r="L1028" s="14"/>
    </row>
    <row r="1029" hidden="1">
      <c r="A1029" s="15"/>
      <c r="B1029" s="16"/>
      <c r="C1029" s="17"/>
      <c r="D1029" s="17"/>
      <c r="E1029" s="32"/>
      <c r="F1029" s="19"/>
      <c r="G1029" s="20"/>
      <c r="H1029" s="20"/>
      <c r="I1029" s="21"/>
      <c r="J1029" s="21"/>
      <c r="K1029" s="22"/>
      <c r="L1029" s="23"/>
    </row>
    <row r="1030" hidden="1">
      <c r="A1030" s="6"/>
      <c r="B1030" s="7"/>
      <c r="C1030" s="8"/>
      <c r="D1030" s="8"/>
      <c r="E1030" s="32"/>
      <c r="F1030" s="10"/>
      <c r="G1030" s="11"/>
      <c r="H1030" s="11"/>
      <c r="I1030" s="12"/>
      <c r="J1030" s="12"/>
      <c r="K1030" s="13"/>
      <c r="L1030" s="14"/>
    </row>
    <row r="1031" hidden="1">
      <c r="A1031" s="15"/>
      <c r="B1031" s="16"/>
      <c r="C1031" s="17"/>
      <c r="D1031" s="17"/>
      <c r="E1031" s="32"/>
      <c r="F1031" s="19"/>
      <c r="G1031" s="20"/>
      <c r="H1031" s="20"/>
      <c r="I1031" s="21"/>
      <c r="J1031" s="21"/>
      <c r="K1031" s="22"/>
      <c r="L1031" s="23"/>
    </row>
    <row r="1032" hidden="1">
      <c r="A1032" s="6"/>
      <c r="B1032" s="7"/>
      <c r="C1032" s="8"/>
      <c r="D1032" s="8"/>
      <c r="E1032" s="32"/>
      <c r="F1032" s="10"/>
      <c r="G1032" s="11"/>
      <c r="H1032" s="11"/>
      <c r="I1032" s="12"/>
      <c r="J1032" s="12"/>
      <c r="K1032" s="13"/>
      <c r="L1032" s="14"/>
    </row>
    <row r="1033" hidden="1">
      <c r="A1033" s="15"/>
      <c r="B1033" s="16"/>
      <c r="C1033" s="17"/>
      <c r="D1033" s="17"/>
      <c r="E1033" s="32"/>
      <c r="F1033" s="19"/>
      <c r="G1033" s="20"/>
      <c r="H1033" s="20"/>
      <c r="I1033" s="21"/>
      <c r="J1033" s="21"/>
      <c r="K1033" s="22"/>
      <c r="L1033" s="23"/>
    </row>
    <row r="1034" hidden="1">
      <c r="A1034" s="6"/>
      <c r="B1034" s="7"/>
      <c r="C1034" s="8"/>
      <c r="D1034" s="8"/>
      <c r="E1034" s="32"/>
      <c r="F1034" s="10"/>
      <c r="G1034" s="11"/>
      <c r="H1034" s="11"/>
      <c r="I1034" s="12"/>
      <c r="J1034" s="12"/>
      <c r="K1034" s="13"/>
      <c r="L1034" s="14"/>
    </row>
    <row r="1035" hidden="1">
      <c r="A1035" s="15"/>
      <c r="B1035" s="16"/>
      <c r="C1035" s="17"/>
      <c r="D1035" s="17"/>
      <c r="E1035" s="32"/>
      <c r="F1035" s="19"/>
      <c r="G1035" s="20"/>
      <c r="H1035" s="20"/>
      <c r="I1035" s="21"/>
      <c r="J1035" s="21"/>
      <c r="K1035" s="22"/>
      <c r="L1035" s="23"/>
    </row>
    <row r="1036" hidden="1">
      <c r="A1036" s="6"/>
      <c r="B1036" s="7"/>
      <c r="C1036" s="8"/>
      <c r="D1036" s="8"/>
      <c r="E1036" s="32"/>
      <c r="F1036" s="10"/>
      <c r="G1036" s="11"/>
      <c r="H1036" s="11"/>
      <c r="I1036" s="12"/>
      <c r="J1036" s="12"/>
      <c r="K1036" s="13"/>
      <c r="L1036" s="14"/>
    </row>
    <row r="1037" hidden="1">
      <c r="A1037" s="15"/>
      <c r="B1037" s="16"/>
      <c r="C1037" s="17"/>
      <c r="D1037" s="17"/>
      <c r="E1037" s="32"/>
      <c r="F1037" s="19"/>
      <c r="G1037" s="20"/>
      <c r="H1037" s="20"/>
      <c r="I1037" s="21"/>
      <c r="J1037" s="21"/>
      <c r="K1037" s="22"/>
      <c r="L1037" s="23"/>
    </row>
    <row r="1038" hidden="1">
      <c r="A1038" s="6"/>
      <c r="B1038" s="7"/>
      <c r="C1038" s="8"/>
      <c r="D1038" s="8"/>
      <c r="E1038" s="32"/>
      <c r="F1038" s="10"/>
      <c r="G1038" s="11"/>
      <c r="H1038" s="11"/>
      <c r="I1038" s="12"/>
      <c r="J1038" s="12"/>
      <c r="K1038" s="13"/>
      <c r="L1038" s="14"/>
    </row>
    <row r="1039" hidden="1">
      <c r="A1039" s="15"/>
      <c r="B1039" s="16"/>
      <c r="C1039" s="17"/>
      <c r="D1039" s="17"/>
      <c r="E1039" s="32"/>
      <c r="F1039" s="19"/>
      <c r="G1039" s="20"/>
      <c r="H1039" s="20"/>
      <c r="I1039" s="21"/>
      <c r="J1039" s="21"/>
      <c r="K1039" s="22"/>
      <c r="L1039" s="23"/>
    </row>
    <row r="1040" hidden="1">
      <c r="A1040" s="6"/>
      <c r="B1040" s="7"/>
      <c r="C1040" s="8"/>
      <c r="D1040" s="8"/>
      <c r="E1040" s="32"/>
      <c r="F1040" s="10"/>
      <c r="G1040" s="11"/>
      <c r="H1040" s="11"/>
      <c r="I1040" s="12"/>
      <c r="J1040" s="12"/>
      <c r="K1040" s="13"/>
      <c r="L1040" s="14"/>
    </row>
    <row r="1041" hidden="1">
      <c r="A1041" s="15"/>
      <c r="B1041" s="16"/>
      <c r="C1041" s="17"/>
      <c r="D1041" s="17"/>
      <c r="E1041" s="32"/>
      <c r="F1041" s="19"/>
      <c r="G1041" s="20"/>
      <c r="H1041" s="20"/>
      <c r="I1041" s="21"/>
      <c r="J1041" s="21"/>
      <c r="K1041" s="22"/>
      <c r="L1041" s="23"/>
    </row>
    <row r="1042" hidden="1">
      <c r="A1042" s="6"/>
      <c r="B1042" s="7"/>
      <c r="C1042" s="8"/>
      <c r="D1042" s="8"/>
      <c r="E1042" s="32"/>
      <c r="F1042" s="10"/>
      <c r="G1042" s="11"/>
      <c r="H1042" s="11"/>
      <c r="I1042" s="12"/>
      <c r="J1042" s="12"/>
      <c r="K1042" s="13"/>
      <c r="L1042" s="14"/>
    </row>
    <row r="1043" hidden="1">
      <c r="A1043" s="15"/>
      <c r="B1043" s="16"/>
      <c r="C1043" s="17"/>
      <c r="D1043" s="17"/>
      <c r="E1043" s="32"/>
      <c r="F1043" s="19"/>
      <c r="G1043" s="20"/>
      <c r="H1043" s="20"/>
      <c r="I1043" s="21"/>
      <c r="J1043" s="21"/>
      <c r="K1043" s="22"/>
      <c r="L1043" s="23"/>
    </row>
    <row r="1044" hidden="1">
      <c r="A1044" s="6"/>
      <c r="B1044" s="7"/>
      <c r="C1044" s="8"/>
      <c r="D1044" s="8"/>
      <c r="E1044" s="32"/>
      <c r="F1044" s="10"/>
      <c r="G1044" s="11"/>
      <c r="H1044" s="11"/>
      <c r="I1044" s="12"/>
      <c r="J1044" s="12"/>
      <c r="K1044" s="13"/>
      <c r="L1044" s="14"/>
    </row>
    <row r="1045" hidden="1">
      <c r="A1045" s="15"/>
      <c r="B1045" s="16"/>
      <c r="C1045" s="17"/>
      <c r="D1045" s="17"/>
      <c r="E1045" s="32"/>
      <c r="F1045" s="19"/>
      <c r="G1045" s="20"/>
      <c r="H1045" s="20"/>
      <c r="I1045" s="21"/>
      <c r="J1045" s="21"/>
      <c r="K1045" s="22"/>
      <c r="L1045" s="23"/>
    </row>
    <row r="1046" hidden="1">
      <c r="A1046" s="6"/>
      <c r="B1046" s="7"/>
      <c r="C1046" s="8"/>
      <c r="D1046" s="8"/>
      <c r="E1046" s="32"/>
      <c r="F1046" s="10"/>
      <c r="G1046" s="11"/>
      <c r="H1046" s="11"/>
      <c r="I1046" s="12"/>
      <c r="J1046" s="12"/>
      <c r="K1046" s="13"/>
      <c r="L1046" s="14"/>
    </row>
    <row r="1047" hidden="1">
      <c r="A1047" s="15"/>
      <c r="B1047" s="16"/>
      <c r="C1047" s="17"/>
      <c r="D1047" s="17"/>
      <c r="E1047" s="32"/>
      <c r="F1047" s="19"/>
      <c r="G1047" s="20"/>
      <c r="H1047" s="20"/>
      <c r="I1047" s="21"/>
      <c r="J1047" s="21"/>
      <c r="K1047" s="22"/>
      <c r="L1047" s="23"/>
    </row>
    <row r="1048" hidden="1">
      <c r="A1048" s="6"/>
      <c r="B1048" s="7"/>
      <c r="C1048" s="8"/>
      <c r="D1048" s="8"/>
      <c r="E1048" s="32"/>
      <c r="F1048" s="10"/>
      <c r="G1048" s="11"/>
      <c r="H1048" s="11"/>
      <c r="I1048" s="12"/>
      <c r="J1048" s="12"/>
      <c r="K1048" s="13"/>
      <c r="L1048" s="14"/>
    </row>
    <row r="1049" hidden="1">
      <c r="A1049" s="15"/>
      <c r="B1049" s="16"/>
      <c r="C1049" s="17"/>
      <c r="D1049" s="17"/>
      <c r="E1049" s="32"/>
      <c r="F1049" s="19"/>
      <c r="G1049" s="20"/>
      <c r="H1049" s="20"/>
      <c r="I1049" s="21"/>
      <c r="J1049" s="21"/>
      <c r="K1049" s="22"/>
      <c r="L1049" s="23"/>
    </row>
    <row r="1050" hidden="1">
      <c r="A1050" s="6"/>
      <c r="B1050" s="7"/>
      <c r="C1050" s="8"/>
      <c r="D1050" s="8"/>
      <c r="E1050" s="32"/>
      <c r="F1050" s="10"/>
      <c r="G1050" s="11"/>
      <c r="H1050" s="11"/>
      <c r="I1050" s="12"/>
      <c r="J1050" s="12"/>
      <c r="K1050" s="13"/>
      <c r="L1050" s="14"/>
    </row>
    <row r="1051" hidden="1">
      <c r="A1051" s="15"/>
      <c r="B1051" s="16"/>
      <c r="C1051" s="17"/>
      <c r="D1051" s="17"/>
      <c r="E1051" s="32"/>
      <c r="F1051" s="19"/>
      <c r="G1051" s="20"/>
      <c r="H1051" s="20"/>
      <c r="I1051" s="21"/>
      <c r="J1051" s="21"/>
      <c r="K1051" s="22"/>
      <c r="L1051" s="23"/>
    </row>
    <row r="1052" hidden="1">
      <c r="A1052" s="6"/>
      <c r="B1052" s="7"/>
      <c r="C1052" s="8"/>
      <c r="D1052" s="8"/>
      <c r="E1052" s="32"/>
      <c r="F1052" s="10"/>
      <c r="G1052" s="11"/>
      <c r="H1052" s="11"/>
      <c r="I1052" s="12"/>
      <c r="J1052" s="12"/>
      <c r="K1052" s="13"/>
      <c r="L1052" s="14"/>
    </row>
    <row r="1053" hidden="1">
      <c r="A1053" s="15"/>
      <c r="B1053" s="16"/>
      <c r="C1053" s="17"/>
      <c r="D1053" s="17"/>
      <c r="E1053" s="32"/>
      <c r="F1053" s="19"/>
      <c r="G1053" s="20"/>
      <c r="H1053" s="20"/>
      <c r="I1053" s="21"/>
      <c r="J1053" s="21"/>
      <c r="K1053" s="22"/>
      <c r="L1053" s="23"/>
    </row>
    <row r="1054" hidden="1">
      <c r="A1054" s="6"/>
      <c r="B1054" s="7"/>
      <c r="C1054" s="8"/>
      <c r="D1054" s="8"/>
      <c r="E1054" s="32"/>
      <c r="F1054" s="10"/>
      <c r="G1054" s="11"/>
      <c r="H1054" s="11"/>
      <c r="I1054" s="12"/>
      <c r="J1054" s="12"/>
      <c r="K1054" s="13"/>
      <c r="L1054" s="14"/>
    </row>
    <row r="1055" hidden="1">
      <c r="A1055" s="15"/>
      <c r="B1055" s="16"/>
      <c r="C1055" s="17"/>
      <c r="D1055" s="17"/>
      <c r="E1055" s="32"/>
      <c r="F1055" s="19"/>
      <c r="G1055" s="20"/>
      <c r="H1055" s="20"/>
      <c r="I1055" s="21"/>
      <c r="J1055" s="21"/>
      <c r="K1055" s="22"/>
      <c r="L1055" s="23"/>
    </row>
    <row r="1056" hidden="1">
      <c r="A1056" s="6"/>
      <c r="B1056" s="7"/>
      <c r="C1056" s="8"/>
      <c r="D1056" s="8"/>
      <c r="E1056" s="32"/>
      <c r="F1056" s="10"/>
      <c r="G1056" s="11"/>
      <c r="H1056" s="11"/>
      <c r="I1056" s="12"/>
      <c r="J1056" s="12"/>
      <c r="K1056" s="13"/>
      <c r="L1056" s="14"/>
    </row>
    <row r="1057" hidden="1">
      <c r="A1057" s="15"/>
      <c r="B1057" s="16"/>
      <c r="C1057" s="17"/>
      <c r="D1057" s="17"/>
      <c r="E1057" s="32"/>
      <c r="F1057" s="19"/>
      <c r="G1057" s="20"/>
      <c r="H1057" s="20"/>
      <c r="I1057" s="21"/>
      <c r="J1057" s="21"/>
      <c r="K1057" s="22"/>
      <c r="L1057" s="23"/>
    </row>
    <row r="1058" hidden="1">
      <c r="A1058" s="6"/>
      <c r="B1058" s="7"/>
      <c r="C1058" s="8"/>
      <c r="D1058" s="8"/>
      <c r="E1058" s="32"/>
      <c r="F1058" s="10"/>
      <c r="G1058" s="11"/>
      <c r="H1058" s="11"/>
      <c r="I1058" s="12"/>
      <c r="J1058" s="12"/>
      <c r="K1058" s="13"/>
      <c r="L1058" s="14"/>
    </row>
    <row r="1059" hidden="1">
      <c r="A1059" s="15"/>
      <c r="B1059" s="16"/>
      <c r="C1059" s="17"/>
      <c r="D1059" s="17"/>
      <c r="E1059" s="32"/>
      <c r="F1059" s="19"/>
      <c r="G1059" s="20"/>
      <c r="H1059" s="20"/>
      <c r="I1059" s="21"/>
      <c r="J1059" s="21"/>
      <c r="K1059" s="22"/>
      <c r="L1059" s="23"/>
    </row>
    <row r="1060" hidden="1">
      <c r="A1060" s="6"/>
      <c r="B1060" s="7"/>
      <c r="C1060" s="8"/>
      <c r="D1060" s="8"/>
      <c r="E1060" s="32"/>
      <c r="F1060" s="10"/>
      <c r="G1060" s="11"/>
      <c r="H1060" s="11"/>
      <c r="I1060" s="12"/>
      <c r="J1060" s="12"/>
      <c r="K1060" s="13"/>
      <c r="L1060" s="14"/>
    </row>
    <row r="1061" hidden="1">
      <c r="A1061" s="15"/>
      <c r="B1061" s="16"/>
      <c r="C1061" s="17"/>
      <c r="D1061" s="17"/>
      <c r="E1061" s="32"/>
      <c r="F1061" s="19"/>
      <c r="G1061" s="20"/>
      <c r="H1061" s="20"/>
      <c r="I1061" s="21"/>
      <c r="J1061" s="21"/>
      <c r="K1061" s="22"/>
      <c r="L1061" s="23"/>
    </row>
    <row r="1062" hidden="1">
      <c r="A1062" s="6"/>
      <c r="B1062" s="7"/>
      <c r="C1062" s="8"/>
      <c r="D1062" s="8"/>
      <c r="E1062" s="32"/>
      <c r="F1062" s="10"/>
      <c r="G1062" s="11"/>
      <c r="H1062" s="11"/>
      <c r="I1062" s="12"/>
      <c r="J1062" s="12"/>
      <c r="K1062" s="13"/>
      <c r="L1062" s="14"/>
    </row>
    <row r="1063" hidden="1">
      <c r="A1063" s="15"/>
      <c r="B1063" s="16"/>
      <c r="C1063" s="17"/>
      <c r="D1063" s="17"/>
      <c r="E1063" s="32"/>
      <c r="F1063" s="19"/>
      <c r="G1063" s="20"/>
      <c r="H1063" s="20"/>
      <c r="I1063" s="21"/>
      <c r="J1063" s="21"/>
      <c r="K1063" s="22"/>
      <c r="L1063" s="23"/>
    </row>
    <row r="1064" hidden="1">
      <c r="A1064" s="6"/>
      <c r="B1064" s="7"/>
      <c r="C1064" s="8"/>
      <c r="D1064" s="8"/>
      <c r="E1064" s="32"/>
      <c r="F1064" s="10"/>
      <c r="G1064" s="11"/>
      <c r="H1064" s="11"/>
      <c r="I1064" s="12"/>
      <c r="J1064" s="12"/>
      <c r="K1064" s="13"/>
      <c r="L1064" s="14"/>
    </row>
    <row r="1065" hidden="1">
      <c r="A1065" s="15"/>
      <c r="B1065" s="16"/>
      <c r="C1065" s="17"/>
      <c r="D1065" s="17"/>
      <c r="E1065" s="32"/>
      <c r="F1065" s="19"/>
      <c r="G1065" s="20"/>
      <c r="H1065" s="20"/>
      <c r="I1065" s="21"/>
      <c r="J1065" s="21"/>
      <c r="K1065" s="22"/>
      <c r="L1065" s="23"/>
    </row>
    <row r="1066" hidden="1">
      <c r="A1066" s="6"/>
      <c r="B1066" s="7"/>
      <c r="C1066" s="8"/>
      <c r="D1066" s="8"/>
      <c r="E1066" s="32"/>
      <c r="F1066" s="10"/>
      <c r="G1066" s="11"/>
      <c r="H1066" s="11"/>
      <c r="I1066" s="12"/>
      <c r="J1066" s="12"/>
      <c r="K1066" s="13"/>
      <c r="L1066" s="14"/>
    </row>
    <row r="1067" hidden="1">
      <c r="A1067" s="15"/>
      <c r="B1067" s="16"/>
      <c r="C1067" s="17"/>
      <c r="D1067" s="17"/>
      <c r="E1067" s="32"/>
      <c r="F1067" s="19"/>
      <c r="G1067" s="20"/>
      <c r="H1067" s="20"/>
      <c r="I1067" s="21"/>
      <c r="J1067" s="21"/>
      <c r="K1067" s="22"/>
      <c r="L1067" s="23"/>
    </row>
    <row r="1068" hidden="1">
      <c r="A1068" s="6"/>
      <c r="B1068" s="7"/>
      <c r="C1068" s="8"/>
      <c r="D1068" s="8"/>
      <c r="E1068" s="32"/>
      <c r="F1068" s="10"/>
      <c r="G1068" s="11"/>
      <c r="H1068" s="11"/>
      <c r="I1068" s="12"/>
      <c r="J1068" s="12"/>
      <c r="K1068" s="13"/>
      <c r="L1068" s="14"/>
    </row>
    <row r="1069" hidden="1">
      <c r="A1069" s="15"/>
      <c r="B1069" s="16"/>
      <c r="C1069" s="17"/>
      <c r="D1069" s="17"/>
      <c r="E1069" s="32"/>
      <c r="F1069" s="19"/>
      <c r="G1069" s="20"/>
      <c r="H1069" s="20"/>
      <c r="I1069" s="21"/>
      <c r="J1069" s="21"/>
      <c r="K1069" s="22"/>
      <c r="L1069" s="23"/>
    </row>
    <row r="1070" hidden="1">
      <c r="A1070" s="6"/>
      <c r="B1070" s="7"/>
      <c r="C1070" s="8"/>
      <c r="D1070" s="8"/>
      <c r="E1070" s="32"/>
      <c r="F1070" s="10"/>
      <c r="G1070" s="11"/>
      <c r="H1070" s="11"/>
      <c r="I1070" s="12"/>
      <c r="J1070" s="12"/>
      <c r="K1070" s="13"/>
      <c r="L1070" s="14"/>
    </row>
    <row r="1071" hidden="1">
      <c r="A1071" s="15"/>
      <c r="B1071" s="16"/>
      <c r="C1071" s="17"/>
      <c r="D1071" s="17"/>
      <c r="E1071" s="32"/>
      <c r="F1071" s="19"/>
      <c r="G1071" s="20"/>
      <c r="H1071" s="20"/>
      <c r="I1071" s="21"/>
      <c r="J1071" s="21"/>
      <c r="K1071" s="22"/>
      <c r="L1071" s="23"/>
    </row>
    <row r="1072" hidden="1">
      <c r="A1072" s="6"/>
      <c r="B1072" s="7"/>
      <c r="C1072" s="8"/>
      <c r="D1072" s="8"/>
      <c r="E1072" s="32"/>
      <c r="F1072" s="10"/>
      <c r="G1072" s="11"/>
      <c r="H1072" s="11"/>
      <c r="I1072" s="12"/>
      <c r="J1072" s="12"/>
      <c r="K1072" s="13"/>
      <c r="L1072" s="14"/>
    </row>
    <row r="1073" hidden="1">
      <c r="A1073" s="15"/>
      <c r="B1073" s="16"/>
      <c r="C1073" s="17"/>
      <c r="D1073" s="17"/>
      <c r="E1073" s="32"/>
      <c r="F1073" s="19"/>
      <c r="G1073" s="20"/>
      <c r="H1073" s="20"/>
      <c r="I1073" s="21"/>
      <c r="J1073" s="21"/>
      <c r="K1073" s="22"/>
      <c r="L1073" s="23"/>
    </row>
    <row r="1074" hidden="1">
      <c r="A1074" s="6"/>
      <c r="B1074" s="7"/>
      <c r="C1074" s="8"/>
      <c r="D1074" s="8"/>
      <c r="E1074" s="32"/>
      <c r="F1074" s="10"/>
      <c r="G1074" s="11"/>
      <c r="H1074" s="11"/>
      <c r="I1074" s="12"/>
      <c r="J1074" s="12"/>
      <c r="K1074" s="13"/>
      <c r="L1074" s="14"/>
    </row>
    <row r="1075" hidden="1">
      <c r="A1075" s="15"/>
      <c r="B1075" s="16"/>
      <c r="C1075" s="17"/>
      <c r="D1075" s="17"/>
      <c r="E1075" s="32"/>
      <c r="F1075" s="19"/>
      <c r="G1075" s="20"/>
      <c r="H1075" s="20"/>
      <c r="I1075" s="21"/>
      <c r="J1075" s="21"/>
      <c r="K1075" s="22"/>
      <c r="L1075" s="23"/>
    </row>
    <row r="1076" hidden="1">
      <c r="A1076" s="6"/>
      <c r="B1076" s="7"/>
      <c r="C1076" s="8"/>
      <c r="D1076" s="8"/>
      <c r="E1076" s="32"/>
      <c r="F1076" s="10"/>
      <c r="G1076" s="11"/>
      <c r="H1076" s="11"/>
      <c r="I1076" s="12"/>
      <c r="J1076" s="12"/>
      <c r="K1076" s="13"/>
      <c r="L1076" s="14"/>
    </row>
    <row r="1077" hidden="1">
      <c r="A1077" s="15"/>
      <c r="B1077" s="16"/>
      <c r="C1077" s="17"/>
      <c r="D1077" s="17"/>
      <c r="E1077" s="32"/>
      <c r="F1077" s="19"/>
      <c r="G1077" s="20"/>
      <c r="H1077" s="20"/>
      <c r="I1077" s="21"/>
      <c r="J1077" s="21"/>
      <c r="K1077" s="22"/>
      <c r="L1077" s="23"/>
    </row>
    <row r="1078" hidden="1">
      <c r="A1078" s="6"/>
      <c r="B1078" s="7"/>
      <c r="C1078" s="8"/>
      <c r="D1078" s="8"/>
      <c r="E1078" s="32"/>
      <c r="F1078" s="10"/>
      <c r="G1078" s="11"/>
      <c r="H1078" s="11"/>
      <c r="I1078" s="12"/>
      <c r="J1078" s="12"/>
      <c r="K1078" s="13"/>
      <c r="L1078" s="14"/>
    </row>
    <row r="1079" hidden="1">
      <c r="A1079" s="15"/>
      <c r="B1079" s="16"/>
      <c r="C1079" s="17"/>
      <c r="D1079" s="17"/>
      <c r="E1079" s="32"/>
      <c r="F1079" s="19"/>
      <c r="G1079" s="20"/>
      <c r="H1079" s="20"/>
      <c r="I1079" s="21"/>
      <c r="J1079" s="21"/>
      <c r="K1079" s="22"/>
      <c r="L1079" s="23"/>
    </row>
    <row r="1080" hidden="1">
      <c r="A1080" s="6"/>
      <c r="B1080" s="7"/>
      <c r="C1080" s="8"/>
      <c r="D1080" s="8"/>
      <c r="E1080" s="32"/>
      <c r="F1080" s="10"/>
      <c r="G1080" s="11"/>
      <c r="H1080" s="11"/>
      <c r="I1080" s="12"/>
      <c r="J1080" s="12"/>
      <c r="K1080" s="13"/>
      <c r="L1080" s="14"/>
    </row>
    <row r="1081" hidden="1">
      <c r="A1081" s="15"/>
      <c r="B1081" s="16"/>
      <c r="C1081" s="17"/>
      <c r="D1081" s="17"/>
      <c r="E1081" s="32"/>
      <c r="F1081" s="19"/>
      <c r="G1081" s="20"/>
      <c r="H1081" s="20"/>
      <c r="I1081" s="21"/>
      <c r="J1081" s="21"/>
      <c r="K1081" s="22"/>
      <c r="L1081" s="23"/>
    </row>
    <row r="1082" hidden="1">
      <c r="A1082" s="6"/>
      <c r="B1082" s="7"/>
      <c r="C1082" s="8"/>
      <c r="D1082" s="8"/>
      <c r="E1082" s="32"/>
      <c r="F1082" s="10"/>
      <c r="G1082" s="11"/>
      <c r="H1082" s="11"/>
      <c r="I1082" s="12"/>
      <c r="J1082" s="12"/>
      <c r="K1082" s="13"/>
      <c r="L1082" s="14"/>
    </row>
    <row r="1083" hidden="1">
      <c r="A1083" s="15"/>
      <c r="B1083" s="16"/>
      <c r="C1083" s="17"/>
      <c r="D1083" s="17"/>
      <c r="E1083" s="32"/>
      <c r="F1083" s="19"/>
      <c r="G1083" s="20"/>
      <c r="H1083" s="20"/>
      <c r="I1083" s="21"/>
      <c r="J1083" s="21"/>
      <c r="K1083" s="22"/>
      <c r="L1083" s="23"/>
    </row>
    <row r="1084" hidden="1">
      <c r="A1084" s="6"/>
      <c r="B1084" s="7"/>
      <c r="C1084" s="8"/>
      <c r="D1084" s="8"/>
      <c r="E1084" s="32"/>
      <c r="F1084" s="10"/>
      <c r="G1084" s="11"/>
      <c r="H1084" s="11"/>
      <c r="I1084" s="12"/>
      <c r="J1084" s="12"/>
      <c r="K1084" s="13"/>
      <c r="L1084" s="14"/>
    </row>
    <row r="1085" hidden="1">
      <c r="A1085" s="15"/>
      <c r="B1085" s="16"/>
      <c r="C1085" s="17"/>
      <c r="D1085" s="17"/>
      <c r="E1085" s="32"/>
      <c r="F1085" s="19"/>
      <c r="G1085" s="20"/>
      <c r="H1085" s="20"/>
      <c r="I1085" s="21"/>
      <c r="J1085" s="21"/>
      <c r="K1085" s="22"/>
      <c r="L1085" s="23"/>
    </row>
    <row r="1086" hidden="1">
      <c r="A1086" s="6"/>
      <c r="B1086" s="7"/>
      <c r="C1086" s="8"/>
      <c r="D1086" s="8"/>
      <c r="E1086" s="32"/>
      <c r="F1086" s="10"/>
      <c r="G1086" s="11"/>
      <c r="H1086" s="11"/>
      <c r="I1086" s="12"/>
      <c r="J1086" s="12"/>
      <c r="K1086" s="13"/>
      <c r="L1086" s="14"/>
    </row>
    <row r="1087" hidden="1">
      <c r="A1087" s="15"/>
      <c r="B1087" s="16"/>
      <c r="C1087" s="17"/>
      <c r="D1087" s="17"/>
      <c r="E1087" s="32"/>
      <c r="F1087" s="19"/>
      <c r="G1087" s="20"/>
      <c r="H1087" s="20"/>
      <c r="I1087" s="21"/>
      <c r="J1087" s="21"/>
      <c r="K1087" s="22"/>
      <c r="L1087" s="23"/>
    </row>
    <row r="1088" hidden="1">
      <c r="A1088" s="6"/>
      <c r="B1088" s="7"/>
      <c r="C1088" s="8"/>
      <c r="D1088" s="8"/>
      <c r="E1088" s="32"/>
      <c r="F1088" s="10"/>
      <c r="G1088" s="11"/>
      <c r="H1088" s="11"/>
      <c r="I1088" s="12"/>
      <c r="J1088" s="12"/>
      <c r="K1088" s="13"/>
      <c r="L1088" s="14"/>
    </row>
    <row r="1089" hidden="1">
      <c r="A1089" s="15"/>
      <c r="B1089" s="16"/>
      <c r="C1089" s="17"/>
      <c r="D1089" s="17"/>
      <c r="E1089" s="32"/>
      <c r="F1089" s="19"/>
      <c r="G1089" s="20"/>
      <c r="H1089" s="20"/>
      <c r="I1089" s="21"/>
      <c r="J1089" s="21"/>
      <c r="K1089" s="22"/>
      <c r="L1089" s="23"/>
    </row>
    <row r="1090" hidden="1">
      <c r="A1090" s="6"/>
      <c r="B1090" s="7"/>
      <c r="C1090" s="8"/>
      <c r="D1090" s="8"/>
      <c r="E1090" s="32"/>
      <c r="F1090" s="10"/>
      <c r="G1090" s="11"/>
      <c r="H1090" s="11"/>
      <c r="I1090" s="12"/>
      <c r="J1090" s="12"/>
      <c r="K1090" s="13"/>
      <c r="L1090" s="14"/>
    </row>
    <row r="1091" hidden="1">
      <c r="A1091" s="15"/>
      <c r="B1091" s="16"/>
      <c r="C1091" s="17"/>
      <c r="D1091" s="17"/>
      <c r="E1091" s="32"/>
      <c r="F1091" s="19"/>
      <c r="G1091" s="20"/>
      <c r="H1091" s="20"/>
      <c r="I1091" s="21"/>
      <c r="J1091" s="21"/>
      <c r="K1091" s="22"/>
      <c r="L1091" s="23"/>
    </row>
    <row r="1092" hidden="1">
      <c r="A1092" s="6"/>
      <c r="B1092" s="7"/>
      <c r="C1092" s="8"/>
      <c r="D1092" s="8"/>
      <c r="E1092" s="32"/>
      <c r="F1092" s="10"/>
      <c r="G1092" s="11"/>
      <c r="H1092" s="11"/>
      <c r="I1092" s="12"/>
      <c r="J1092" s="12"/>
      <c r="K1092" s="13"/>
      <c r="L1092" s="14"/>
    </row>
    <row r="1093" hidden="1">
      <c r="A1093" s="15"/>
      <c r="B1093" s="16"/>
      <c r="C1093" s="17"/>
      <c r="D1093" s="17"/>
      <c r="E1093" s="32"/>
      <c r="F1093" s="19"/>
      <c r="G1093" s="20"/>
      <c r="H1093" s="20"/>
      <c r="I1093" s="21"/>
      <c r="J1093" s="21"/>
      <c r="K1093" s="22"/>
      <c r="L1093" s="23"/>
    </row>
    <row r="1094" hidden="1">
      <c r="A1094" s="6"/>
      <c r="B1094" s="7"/>
      <c r="C1094" s="8"/>
      <c r="D1094" s="8"/>
      <c r="E1094" s="32"/>
      <c r="F1094" s="10"/>
      <c r="G1094" s="11"/>
      <c r="H1094" s="11"/>
      <c r="I1094" s="12"/>
      <c r="J1094" s="12"/>
      <c r="K1094" s="13"/>
      <c r="L1094" s="14"/>
    </row>
    <row r="1095" hidden="1">
      <c r="A1095" s="15"/>
      <c r="B1095" s="16"/>
      <c r="C1095" s="17"/>
      <c r="D1095" s="17"/>
      <c r="E1095" s="32"/>
      <c r="F1095" s="19"/>
      <c r="G1095" s="20"/>
      <c r="H1095" s="20"/>
      <c r="I1095" s="21"/>
      <c r="J1095" s="21"/>
      <c r="K1095" s="22"/>
      <c r="L1095" s="23"/>
    </row>
    <row r="1096" hidden="1">
      <c r="A1096" s="6"/>
      <c r="B1096" s="7"/>
      <c r="C1096" s="8"/>
      <c r="D1096" s="8"/>
      <c r="E1096" s="32"/>
      <c r="F1096" s="10"/>
      <c r="G1096" s="11"/>
      <c r="H1096" s="11"/>
      <c r="I1096" s="12"/>
      <c r="J1096" s="12"/>
      <c r="K1096" s="13"/>
      <c r="L1096" s="14"/>
    </row>
    <row r="1097" hidden="1">
      <c r="A1097" s="15"/>
      <c r="B1097" s="16"/>
      <c r="C1097" s="17"/>
      <c r="D1097" s="17"/>
      <c r="E1097" s="32"/>
      <c r="F1097" s="19"/>
      <c r="G1097" s="20"/>
      <c r="H1097" s="20"/>
      <c r="I1097" s="21"/>
      <c r="J1097" s="21"/>
      <c r="K1097" s="22"/>
      <c r="L1097" s="23"/>
    </row>
    <row r="1098" hidden="1">
      <c r="A1098" s="6"/>
      <c r="B1098" s="7"/>
      <c r="C1098" s="8"/>
      <c r="D1098" s="8"/>
      <c r="E1098" s="32"/>
      <c r="F1098" s="10"/>
      <c r="G1098" s="11"/>
      <c r="H1098" s="11"/>
      <c r="I1098" s="12"/>
      <c r="J1098" s="12"/>
      <c r="K1098" s="13"/>
      <c r="L1098" s="14"/>
    </row>
    <row r="1099" hidden="1">
      <c r="A1099" s="15"/>
      <c r="B1099" s="16"/>
      <c r="C1099" s="17"/>
      <c r="D1099" s="17"/>
      <c r="E1099" s="32"/>
      <c r="F1099" s="19"/>
      <c r="G1099" s="20"/>
      <c r="H1099" s="20"/>
      <c r="I1099" s="21"/>
      <c r="J1099" s="21"/>
      <c r="K1099" s="22"/>
      <c r="L1099" s="23"/>
    </row>
    <row r="1100" hidden="1">
      <c r="A1100" s="6"/>
      <c r="B1100" s="7"/>
      <c r="C1100" s="8"/>
      <c r="D1100" s="8"/>
      <c r="E1100" s="32"/>
      <c r="F1100" s="10"/>
      <c r="G1100" s="11"/>
      <c r="H1100" s="11"/>
      <c r="I1100" s="12"/>
      <c r="J1100" s="12"/>
      <c r="K1100" s="13"/>
      <c r="L1100" s="14"/>
    </row>
    <row r="1101" hidden="1">
      <c r="A1101" s="15"/>
      <c r="B1101" s="16"/>
      <c r="C1101" s="17"/>
      <c r="D1101" s="17"/>
      <c r="E1101" s="32"/>
      <c r="F1101" s="19"/>
      <c r="G1101" s="20"/>
      <c r="H1101" s="20"/>
      <c r="I1101" s="21"/>
      <c r="J1101" s="21"/>
      <c r="K1101" s="22"/>
      <c r="L1101" s="23"/>
    </row>
    <row r="1102" hidden="1">
      <c r="A1102" s="6"/>
      <c r="B1102" s="7"/>
      <c r="C1102" s="8"/>
      <c r="D1102" s="8"/>
      <c r="E1102" s="32"/>
      <c r="F1102" s="10"/>
      <c r="G1102" s="11"/>
      <c r="H1102" s="11"/>
      <c r="I1102" s="12"/>
      <c r="J1102" s="12"/>
      <c r="K1102" s="13"/>
      <c r="L1102" s="14"/>
    </row>
    <row r="1103" hidden="1">
      <c r="A1103" s="15"/>
      <c r="B1103" s="16"/>
      <c r="C1103" s="17"/>
      <c r="D1103" s="17"/>
      <c r="E1103" s="32"/>
      <c r="F1103" s="19"/>
      <c r="G1103" s="20"/>
      <c r="H1103" s="20"/>
      <c r="I1103" s="21"/>
      <c r="J1103" s="21"/>
      <c r="K1103" s="22"/>
      <c r="L1103" s="23"/>
    </row>
    <row r="1104" hidden="1">
      <c r="A1104" s="6"/>
      <c r="B1104" s="7"/>
      <c r="C1104" s="8"/>
      <c r="D1104" s="8"/>
      <c r="E1104" s="32"/>
      <c r="F1104" s="10"/>
      <c r="G1104" s="11"/>
      <c r="H1104" s="11"/>
      <c r="I1104" s="12"/>
      <c r="J1104" s="12"/>
      <c r="K1104" s="13"/>
      <c r="L1104" s="14"/>
    </row>
    <row r="1105" hidden="1">
      <c r="A1105" s="15"/>
      <c r="B1105" s="16"/>
      <c r="C1105" s="17"/>
      <c r="D1105" s="17"/>
      <c r="E1105" s="32"/>
      <c r="F1105" s="19"/>
      <c r="G1105" s="20"/>
      <c r="H1105" s="20"/>
      <c r="I1105" s="21"/>
      <c r="J1105" s="21"/>
      <c r="K1105" s="22"/>
      <c r="L1105" s="23"/>
    </row>
    <row r="1106" hidden="1">
      <c r="A1106" s="6"/>
      <c r="B1106" s="7"/>
      <c r="C1106" s="8"/>
      <c r="D1106" s="8"/>
      <c r="E1106" s="32"/>
      <c r="F1106" s="10"/>
      <c r="G1106" s="11"/>
      <c r="H1106" s="11"/>
      <c r="I1106" s="12"/>
      <c r="J1106" s="12"/>
      <c r="K1106" s="13"/>
      <c r="L1106" s="14"/>
    </row>
    <row r="1107" hidden="1">
      <c r="A1107" s="15"/>
      <c r="B1107" s="16"/>
      <c r="C1107" s="17"/>
      <c r="D1107" s="17"/>
      <c r="E1107" s="32"/>
      <c r="F1107" s="19"/>
      <c r="G1107" s="20"/>
      <c r="H1107" s="20"/>
      <c r="I1107" s="21"/>
      <c r="J1107" s="21"/>
      <c r="K1107" s="22"/>
      <c r="L1107" s="23"/>
    </row>
    <row r="1108" hidden="1">
      <c r="A1108" s="6"/>
      <c r="B1108" s="7"/>
      <c r="C1108" s="8"/>
      <c r="D1108" s="8"/>
      <c r="E1108" s="32"/>
      <c r="F1108" s="10"/>
      <c r="G1108" s="11"/>
      <c r="H1108" s="11"/>
      <c r="I1108" s="12"/>
      <c r="J1108" s="12"/>
      <c r="K1108" s="13"/>
      <c r="L1108" s="14"/>
    </row>
    <row r="1109" hidden="1">
      <c r="A1109" s="15"/>
      <c r="B1109" s="16"/>
      <c r="C1109" s="17"/>
      <c r="D1109" s="17"/>
      <c r="E1109" s="32"/>
      <c r="F1109" s="19"/>
      <c r="G1109" s="20"/>
      <c r="H1109" s="20"/>
      <c r="I1109" s="21"/>
      <c r="J1109" s="21"/>
      <c r="K1109" s="22"/>
      <c r="L1109" s="23"/>
    </row>
    <row r="1110" hidden="1">
      <c r="A1110" s="6"/>
      <c r="B1110" s="7"/>
      <c r="C1110" s="8"/>
      <c r="D1110" s="8"/>
      <c r="E1110" s="32"/>
      <c r="F1110" s="10"/>
      <c r="G1110" s="11"/>
      <c r="H1110" s="11"/>
      <c r="I1110" s="12"/>
      <c r="J1110" s="12"/>
      <c r="K1110" s="13"/>
      <c r="L1110" s="14"/>
    </row>
    <row r="1111" hidden="1">
      <c r="A1111" s="15"/>
      <c r="B1111" s="16"/>
      <c r="C1111" s="17"/>
      <c r="D1111" s="17"/>
      <c r="E1111" s="32"/>
      <c r="F1111" s="19"/>
      <c r="G1111" s="20"/>
      <c r="H1111" s="20"/>
      <c r="I1111" s="21"/>
      <c r="J1111" s="21"/>
      <c r="K1111" s="22"/>
      <c r="L1111" s="23"/>
    </row>
    <row r="1112" hidden="1">
      <c r="A1112" s="6"/>
      <c r="B1112" s="7"/>
      <c r="C1112" s="8"/>
      <c r="D1112" s="8"/>
      <c r="E1112" s="32"/>
      <c r="F1112" s="10"/>
      <c r="G1112" s="11"/>
      <c r="H1112" s="11"/>
      <c r="I1112" s="12"/>
      <c r="J1112" s="12"/>
      <c r="K1112" s="13"/>
      <c r="L1112" s="14"/>
    </row>
    <row r="1113" hidden="1">
      <c r="A1113" s="15"/>
      <c r="B1113" s="16"/>
      <c r="C1113" s="17"/>
      <c r="D1113" s="17"/>
      <c r="E1113" s="32"/>
      <c r="F1113" s="19"/>
      <c r="G1113" s="20"/>
      <c r="H1113" s="20"/>
      <c r="I1113" s="21"/>
      <c r="J1113" s="21"/>
      <c r="K1113" s="22"/>
      <c r="L1113" s="23"/>
    </row>
    <row r="1114" hidden="1">
      <c r="A1114" s="6"/>
      <c r="B1114" s="7"/>
      <c r="C1114" s="8"/>
      <c r="D1114" s="8"/>
      <c r="E1114" s="32"/>
      <c r="F1114" s="10"/>
      <c r="G1114" s="11"/>
      <c r="H1114" s="11"/>
      <c r="I1114" s="12"/>
      <c r="J1114" s="12"/>
      <c r="K1114" s="13"/>
      <c r="L1114" s="14"/>
    </row>
    <row r="1115" hidden="1">
      <c r="A1115" s="15"/>
      <c r="B1115" s="16"/>
      <c r="C1115" s="17"/>
      <c r="D1115" s="17"/>
      <c r="E1115" s="32"/>
      <c r="F1115" s="19"/>
      <c r="G1115" s="20"/>
      <c r="H1115" s="20"/>
      <c r="I1115" s="21"/>
      <c r="J1115" s="21"/>
      <c r="K1115" s="22"/>
      <c r="L1115" s="23"/>
    </row>
    <row r="1116" hidden="1">
      <c r="A1116" s="6"/>
      <c r="B1116" s="7"/>
      <c r="C1116" s="8"/>
      <c r="D1116" s="8"/>
      <c r="E1116" s="32"/>
      <c r="F1116" s="10"/>
      <c r="G1116" s="11"/>
      <c r="H1116" s="11"/>
      <c r="I1116" s="12"/>
      <c r="J1116" s="12"/>
      <c r="K1116" s="13"/>
      <c r="L1116" s="14"/>
    </row>
    <row r="1117" hidden="1">
      <c r="A1117" s="15"/>
      <c r="B1117" s="16"/>
      <c r="C1117" s="17"/>
      <c r="D1117" s="17"/>
      <c r="E1117" s="32"/>
      <c r="F1117" s="19"/>
      <c r="G1117" s="20"/>
      <c r="H1117" s="20"/>
      <c r="I1117" s="21"/>
      <c r="J1117" s="21"/>
      <c r="K1117" s="22"/>
      <c r="L1117" s="23"/>
    </row>
    <row r="1118" hidden="1">
      <c r="A1118" s="6"/>
      <c r="B1118" s="7"/>
      <c r="C1118" s="8"/>
      <c r="D1118" s="8"/>
      <c r="E1118" s="32"/>
      <c r="F1118" s="10"/>
      <c r="G1118" s="11"/>
      <c r="H1118" s="11"/>
      <c r="I1118" s="12"/>
      <c r="J1118" s="12"/>
      <c r="K1118" s="13"/>
      <c r="L1118" s="14"/>
    </row>
    <row r="1119" hidden="1">
      <c r="A1119" s="15"/>
      <c r="B1119" s="16"/>
      <c r="C1119" s="17"/>
      <c r="D1119" s="17"/>
      <c r="E1119" s="32"/>
      <c r="F1119" s="19"/>
      <c r="G1119" s="20"/>
      <c r="H1119" s="20"/>
      <c r="I1119" s="21"/>
      <c r="J1119" s="21"/>
      <c r="K1119" s="22"/>
      <c r="L1119" s="23"/>
    </row>
    <row r="1120" hidden="1">
      <c r="A1120" s="6"/>
      <c r="B1120" s="7"/>
      <c r="C1120" s="8"/>
      <c r="D1120" s="8"/>
      <c r="E1120" s="32"/>
      <c r="F1120" s="10"/>
      <c r="G1120" s="11"/>
      <c r="H1120" s="11"/>
      <c r="I1120" s="12"/>
      <c r="J1120" s="12"/>
      <c r="K1120" s="13"/>
      <c r="L1120" s="14"/>
    </row>
    <row r="1121" hidden="1">
      <c r="A1121" s="15"/>
      <c r="B1121" s="16"/>
      <c r="C1121" s="17"/>
      <c r="D1121" s="17"/>
      <c r="E1121" s="32"/>
      <c r="F1121" s="19"/>
      <c r="G1121" s="20"/>
      <c r="H1121" s="20"/>
      <c r="I1121" s="21"/>
      <c r="J1121" s="21"/>
      <c r="K1121" s="22"/>
      <c r="L1121" s="23"/>
    </row>
    <row r="1122" hidden="1">
      <c r="A1122" s="6"/>
      <c r="B1122" s="7"/>
      <c r="C1122" s="8"/>
      <c r="D1122" s="8"/>
      <c r="E1122" s="32"/>
      <c r="F1122" s="10"/>
      <c r="G1122" s="11"/>
      <c r="H1122" s="11"/>
      <c r="I1122" s="12"/>
      <c r="J1122" s="12"/>
      <c r="K1122" s="13"/>
      <c r="L1122" s="14"/>
    </row>
    <row r="1123" hidden="1">
      <c r="A1123" s="15"/>
      <c r="B1123" s="16"/>
      <c r="C1123" s="17"/>
      <c r="D1123" s="17"/>
      <c r="E1123" s="32"/>
      <c r="F1123" s="19"/>
      <c r="G1123" s="20"/>
      <c r="H1123" s="20"/>
      <c r="I1123" s="21"/>
      <c r="J1123" s="21"/>
      <c r="K1123" s="22"/>
      <c r="L1123" s="23"/>
    </row>
    <row r="1124" hidden="1">
      <c r="A1124" s="6"/>
      <c r="B1124" s="7"/>
      <c r="C1124" s="8"/>
      <c r="D1124" s="8"/>
      <c r="E1124" s="32"/>
      <c r="F1124" s="10"/>
      <c r="G1124" s="11"/>
      <c r="H1124" s="11"/>
      <c r="I1124" s="12"/>
      <c r="J1124" s="12"/>
      <c r="K1124" s="13"/>
      <c r="L1124" s="14"/>
    </row>
    <row r="1125" hidden="1">
      <c r="A1125" s="15"/>
      <c r="B1125" s="16"/>
      <c r="C1125" s="17"/>
      <c r="D1125" s="17"/>
      <c r="E1125" s="32"/>
      <c r="F1125" s="19"/>
      <c r="G1125" s="20"/>
      <c r="H1125" s="20"/>
      <c r="I1125" s="21"/>
      <c r="J1125" s="21"/>
      <c r="K1125" s="22"/>
      <c r="L1125" s="23"/>
    </row>
    <row r="1126" hidden="1">
      <c r="A1126" s="6"/>
      <c r="B1126" s="7"/>
      <c r="C1126" s="8"/>
      <c r="D1126" s="8"/>
      <c r="E1126" s="32"/>
      <c r="F1126" s="10"/>
      <c r="G1126" s="11"/>
      <c r="H1126" s="11"/>
      <c r="I1126" s="12"/>
      <c r="J1126" s="12"/>
      <c r="K1126" s="13"/>
      <c r="L1126" s="14"/>
    </row>
    <row r="1127" hidden="1">
      <c r="A1127" s="15"/>
      <c r="B1127" s="16"/>
      <c r="C1127" s="17"/>
      <c r="D1127" s="17"/>
      <c r="E1127" s="32"/>
      <c r="F1127" s="19"/>
      <c r="G1127" s="20"/>
      <c r="H1127" s="20"/>
      <c r="I1127" s="21"/>
      <c r="J1127" s="21"/>
      <c r="K1127" s="22"/>
      <c r="L1127" s="23"/>
    </row>
    <row r="1128" hidden="1">
      <c r="A1128" s="6"/>
      <c r="B1128" s="7"/>
      <c r="C1128" s="8"/>
      <c r="D1128" s="8"/>
      <c r="E1128" s="32"/>
      <c r="F1128" s="10"/>
      <c r="G1128" s="11"/>
      <c r="H1128" s="11"/>
      <c r="I1128" s="12"/>
      <c r="J1128" s="12"/>
      <c r="K1128" s="13"/>
      <c r="L1128" s="14"/>
    </row>
    <row r="1129" hidden="1">
      <c r="A1129" s="15"/>
      <c r="B1129" s="16"/>
      <c r="C1129" s="17"/>
      <c r="D1129" s="17"/>
      <c r="E1129" s="32"/>
      <c r="F1129" s="19"/>
      <c r="G1129" s="20"/>
      <c r="H1129" s="20"/>
      <c r="I1129" s="21"/>
      <c r="J1129" s="21"/>
      <c r="K1129" s="22"/>
      <c r="L1129" s="23"/>
    </row>
    <row r="1130" hidden="1">
      <c r="A1130" s="6"/>
      <c r="B1130" s="7"/>
      <c r="C1130" s="8"/>
      <c r="D1130" s="8"/>
      <c r="E1130" s="32"/>
      <c r="F1130" s="10"/>
      <c r="G1130" s="11"/>
      <c r="H1130" s="11"/>
      <c r="I1130" s="12"/>
      <c r="J1130" s="12"/>
      <c r="K1130" s="13"/>
      <c r="L1130" s="14"/>
    </row>
    <row r="1131" hidden="1">
      <c r="A1131" s="15"/>
      <c r="B1131" s="16"/>
      <c r="C1131" s="17"/>
      <c r="D1131" s="17"/>
      <c r="E1131" s="32"/>
      <c r="F1131" s="19"/>
      <c r="G1131" s="20"/>
      <c r="H1131" s="20"/>
      <c r="I1131" s="21"/>
      <c r="J1131" s="21"/>
      <c r="K1131" s="22"/>
      <c r="L1131" s="23"/>
    </row>
    <row r="1132" hidden="1">
      <c r="A1132" s="6"/>
      <c r="B1132" s="7"/>
      <c r="C1132" s="8"/>
      <c r="D1132" s="8"/>
      <c r="E1132" s="32"/>
      <c r="F1132" s="10"/>
      <c r="G1132" s="11"/>
      <c r="H1132" s="11"/>
      <c r="I1132" s="12"/>
      <c r="J1132" s="12"/>
      <c r="K1132" s="13"/>
      <c r="L1132" s="14"/>
    </row>
    <row r="1133" hidden="1">
      <c r="A1133" s="15"/>
      <c r="B1133" s="16"/>
      <c r="C1133" s="17"/>
      <c r="D1133" s="17"/>
      <c r="E1133" s="32"/>
      <c r="F1133" s="19"/>
      <c r="G1133" s="20"/>
      <c r="H1133" s="20"/>
      <c r="I1133" s="21"/>
      <c r="J1133" s="21"/>
      <c r="K1133" s="22"/>
      <c r="L1133" s="23"/>
    </row>
    <row r="1134" hidden="1">
      <c r="A1134" s="6"/>
      <c r="B1134" s="7"/>
      <c r="C1134" s="8"/>
      <c r="D1134" s="8"/>
      <c r="E1134" s="32"/>
      <c r="F1134" s="10"/>
      <c r="G1134" s="11"/>
      <c r="H1134" s="11"/>
      <c r="I1134" s="12"/>
      <c r="J1134" s="12"/>
      <c r="K1134" s="13"/>
      <c r="L1134" s="14"/>
    </row>
    <row r="1135" hidden="1">
      <c r="A1135" s="15"/>
      <c r="B1135" s="16"/>
      <c r="C1135" s="17"/>
      <c r="D1135" s="17"/>
      <c r="E1135" s="32"/>
      <c r="F1135" s="19"/>
      <c r="G1135" s="20"/>
      <c r="H1135" s="20"/>
      <c r="I1135" s="21"/>
      <c r="J1135" s="21"/>
      <c r="K1135" s="22"/>
      <c r="L1135" s="23"/>
    </row>
    <row r="1136" hidden="1">
      <c r="A1136" s="6"/>
      <c r="B1136" s="7"/>
      <c r="C1136" s="8"/>
      <c r="D1136" s="8"/>
      <c r="E1136" s="32"/>
      <c r="F1136" s="10"/>
      <c r="G1136" s="11"/>
      <c r="H1136" s="11"/>
      <c r="I1136" s="12"/>
      <c r="J1136" s="12"/>
      <c r="K1136" s="13"/>
      <c r="L1136" s="14"/>
    </row>
    <row r="1137" hidden="1">
      <c r="A1137" s="15"/>
      <c r="B1137" s="16"/>
      <c r="C1137" s="17"/>
      <c r="D1137" s="17"/>
      <c r="E1137" s="32"/>
      <c r="F1137" s="19"/>
      <c r="G1137" s="20"/>
      <c r="H1137" s="20"/>
      <c r="I1137" s="21"/>
      <c r="J1137" s="21"/>
      <c r="K1137" s="22"/>
      <c r="L1137" s="23"/>
    </row>
    <row r="1138" hidden="1">
      <c r="A1138" s="6"/>
      <c r="B1138" s="7"/>
      <c r="C1138" s="8"/>
      <c r="D1138" s="8"/>
      <c r="E1138" s="32"/>
      <c r="F1138" s="10"/>
      <c r="G1138" s="11"/>
      <c r="H1138" s="11"/>
      <c r="I1138" s="12"/>
      <c r="J1138" s="12"/>
      <c r="K1138" s="13"/>
      <c r="L1138" s="14"/>
    </row>
    <row r="1139" hidden="1">
      <c r="A1139" s="15"/>
      <c r="B1139" s="16"/>
      <c r="C1139" s="17"/>
      <c r="D1139" s="17"/>
      <c r="E1139" s="32"/>
      <c r="F1139" s="19"/>
      <c r="G1139" s="20"/>
      <c r="H1139" s="20"/>
      <c r="I1139" s="21"/>
      <c r="J1139" s="21"/>
      <c r="K1139" s="22"/>
      <c r="L1139" s="23"/>
    </row>
    <row r="1140" hidden="1">
      <c r="A1140" s="6"/>
      <c r="B1140" s="7"/>
      <c r="C1140" s="8"/>
      <c r="D1140" s="8"/>
      <c r="E1140" s="32"/>
      <c r="F1140" s="10"/>
      <c r="G1140" s="11"/>
      <c r="H1140" s="11"/>
      <c r="I1140" s="12"/>
      <c r="J1140" s="12"/>
      <c r="K1140" s="13"/>
      <c r="L1140" s="14"/>
    </row>
    <row r="1141" hidden="1">
      <c r="A1141" s="15"/>
      <c r="B1141" s="16"/>
      <c r="C1141" s="17"/>
      <c r="D1141" s="17"/>
      <c r="E1141" s="32"/>
      <c r="F1141" s="19"/>
      <c r="G1141" s="20"/>
      <c r="H1141" s="20"/>
      <c r="I1141" s="21"/>
      <c r="J1141" s="21"/>
      <c r="K1141" s="22"/>
      <c r="L1141" s="23"/>
    </row>
    <row r="1142" hidden="1">
      <c r="A1142" s="6"/>
      <c r="B1142" s="7"/>
      <c r="C1142" s="8"/>
      <c r="D1142" s="8"/>
      <c r="E1142" s="32"/>
      <c r="F1142" s="10"/>
      <c r="G1142" s="11"/>
      <c r="H1142" s="11"/>
      <c r="I1142" s="12"/>
      <c r="J1142" s="12"/>
      <c r="K1142" s="13"/>
      <c r="L1142" s="14"/>
    </row>
    <row r="1143" hidden="1">
      <c r="A1143" s="15"/>
      <c r="B1143" s="16"/>
      <c r="C1143" s="17"/>
      <c r="D1143" s="17"/>
      <c r="E1143" s="32"/>
      <c r="F1143" s="19"/>
      <c r="G1143" s="20"/>
      <c r="H1143" s="20"/>
      <c r="I1143" s="21"/>
      <c r="J1143" s="21"/>
      <c r="K1143" s="22"/>
      <c r="L1143" s="23"/>
    </row>
    <row r="1144" hidden="1">
      <c r="A1144" s="6"/>
      <c r="B1144" s="7"/>
      <c r="C1144" s="8"/>
      <c r="D1144" s="8"/>
      <c r="E1144" s="32"/>
      <c r="F1144" s="10"/>
      <c r="G1144" s="11"/>
      <c r="H1144" s="11"/>
      <c r="I1144" s="12"/>
      <c r="J1144" s="12"/>
      <c r="K1144" s="13"/>
      <c r="L1144" s="14"/>
    </row>
    <row r="1145" hidden="1">
      <c r="A1145" s="15"/>
      <c r="B1145" s="16"/>
      <c r="C1145" s="17"/>
      <c r="D1145" s="17"/>
      <c r="E1145" s="32"/>
      <c r="F1145" s="19"/>
      <c r="G1145" s="20"/>
      <c r="H1145" s="20"/>
      <c r="I1145" s="21"/>
      <c r="J1145" s="21"/>
      <c r="K1145" s="22"/>
      <c r="L1145" s="23"/>
    </row>
    <row r="1146" hidden="1">
      <c r="A1146" s="6"/>
      <c r="B1146" s="7"/>
      <c r="C1146" s="8"/>
      <c r="D1146" s="8"/>
      <c r="E1146" s="32"/>
      <c r="F1146" s="10"/>
      <c r="G1146" s="11"/>
      <c r="H1146" s="11"/>
      <c r="I1146" s="12"/>
      <c r="J1146" s="12"/>
      <c r="K1146" s="13"/>
      <c r="L1146" s="14"/>
    </row>
    <row r="1147" hidden="1">
      <c r="A1147" s="15"/>
      <c r="B1147" s="16"/>
      <c r="C1147" s="17"/>
      <c r="D1147" s="17"/>
      <c r="E1147" s="32"/>
      <c r="F1147" s="19"/>
      <c r="G1147" s="20"/>
      <c r="H1147" s="20"/>
      <c r="I1147" s="21"/>
      <c r="J1147" s="21"/>
      <c r="K1147" s="22"/>
      <c r="L1147" s="23"/>
    </row>
    <row r="1148" hidden="1">
      <c r="A1148" s="6"/>
      <c r="B1148" s="7"/>
      <c r="C1148" s="8"/>
      <c r="D1148" s="8"/>
      <c r="E1148" s="32"/>
      <c r="F1148" s="10"/>
      <c r="G1148" s="11"/>
      <c r="H1148" s="11"/>
      <c r="I1148" s="12"/>
      <c r="J1148" s="12"/>
      <c r="K1148" s="13"/>
      <c r="L1148" s="14"/>
    </row>
    <row r="1149" hidden="1">
      <c r="A1149" s="15"/>
      <c r="B1149" s="16"/>
      <c r="C1149" s="17"/>
      <c r="D1149" s="17"/>
      <c r="E1149" s="32"/>
      <c r="F1149" s="19"/>
      <c r="G1149" s="20"/>
      <c r="H1149" s="20"/>
      <c r="I1149" s="21"/>
      <c r="J1149" s="21"/>
      <c r="K1149" s="22"/>
      <c r="L1149" s="23"/>
    </row>
    <row r="1150" hidden="1">
      <c r="A1150" s="6"/>
      <c r="B1150" s="7"/>
      <c r="C1150" s="8"/>
      <c r="D1150" s="8"/>
      <c r="E1150" s="32"/>
      <c r="F1150" s="10"/>
      <c r="G1150" s="11"/>
      <c r="H1150" s="11"/>
      <c r="I1150" s="12"/>
      <c r="J1150" s="12"/>
      <c r="K1150" s="13"/>
      <c r="L1150" s="14"/>
    </row>
    <row r="1151" hidden="1">
      <c r="A1151" s="15"/>
      <c r="B1151" s="16"/>
      <c r="C1151" s="17"/>
      <c r="D1151" s="17"/>
      <c r="E1151" s="32"/>
      <c r="F1151" s="19"/>
      <c r="G1151" s="20"/>
      <c r="H1151" s="20"/>
      <c r="I1151" s="21"/>
      <c r="J1151" s="21"/>
      <c r="K1151" s="22"/>
      <c r="L1151" s="23"/>
    </row>
    <row r="1152" hidden="1">
      <c r="A1152" s="6"/>
      <c r="B1152" s="7"/>
      <c r="C1152" s="8"/>
      <c r="D1152" s="8"/>
      <c r="E1152" s="32"/>
      <c r="F1152" s="10"/>
      <c r="G1152" s="11"/>
      <c r="H1152" s="11"/>
      <c r="I1152" s="12"/>
      <c r="J1152" s="12"/>
      <c r="K1152" s="13"/>
      <c r="L1152" s="14"/>
    </row>
    <row r="1153" hidden="1">
      <c r="A1153" s="15"/>
      <c r="B1153" s="16"/>
      <c r="C1153" s="17"/>
      <c r="D1153" s="17"/>
      <c r="E1153" s="32"/>
      <c r="F1153" s="19"/>
      <c r="G1153" s="20"/>
      <c r="H1153" s="20"/>
      <c r="I1153" s="21"/>
      <c r="J1153" s="21"/>
      <c r="K1153" s="22"/>
      <c r="L1153" s="23"/>
    </row>
    <row r="1154" hidden="1">
      <c r="A1154" s="6"/>
      <c r="B1154" s="7"/>
      <c r="C1154" s="8"/>
      <c r="D1154" s="8"/>
      <c r="E1154" s="32"/>
      <c r="F1154" s="10"/>
      <c r="G1154" s="11"/>
      <c r="H1154" s="11"/>
      <c r="I1154" s="12"/>
      <c r="J1154" s="12"/>
      <c r="K1154" s="13"/>
      <c r="L1154" s="14"/>
    </row>
    <row r="1155" hidden="1">
      <c r="A1155" s="15"/>
      <c r="B1155" s="16"/>
      <c r="C1155" s="17"/>
      <c r="D1155" s="17"/>
      <c r="E1155" s="32"/>
      <c r="F1155" s="19"/>
      <c r="G1155" s="20"/>
      <c r="H1155" s="20"/>
      <c r="I1155" s="21"/>
      <c r="J1155" s="21"/>
      <c r="K1155" s="22"/>
      <c r="L1155" s="23"/>
    </row>
    <row r="1156" hidden="1">
      <c r="A1156" s="6"/>
      <c r="B1156" s="7"/>
      <c r="C1156" s="8"/>
      <c r="D1156" s="8"/>
      <c r="E1156" s="32"/>
      <c r="F1156" s="10"/>
      <c r="G1156" s="11"/>
      <c r="H1156" s="11"/>
      <c r="I1156" s="12"/>
      <c r="J1156" s="12"/>
      <c r="K1156" s="13"/>
      <c r="L1156" s="14"/>
    </row>
    <row r="1157" hidden="1">
      <c r="A1157" s="15"/>
      <c r="B1157" s="16"/>
      <c r="C1157" s="17"/>
      <c r="D1157" s="17"/>
      <c r="E1157" s="32"/>
      <c r="F1157" s="19"/>
      <c r="G1157" s="20"/>
      <c r="H1157" s="20"/>
      <c r="I1157" s="21"/>
      <c r="J1157" s="21"/>
      <c r="K1157" s="22"/>
      <c r="L1157" s="23"/>
    </row>
    <row r="1158" hidden="1">
      <c r="A1158" s="6"/>
      <c r="B1158" s="7"/>
      <c r="C1158" s="8"/>
      <c r="D1158" s="8"/>
      <c r="E1158" s="32"/>
      <c r="F1158" s="10"/>
      <c r="G1158" s="11"/>
      <c r="H1158" s="11"/>
      <c r="I1158" s="12"/>
      <c r="J1158" s="12"/>
      <c r="K1158" s="13"/>
      <c r="L1158" s="14"/>
    </row>
    <row r="1159" hidden="1">
      <c r="A1159" s="15"/>
      <c r="B1159" s="16"/>
      <c r="C1159" s="17"/>
      <c r="D1159" s="17"/>
      <c r="E1159" s="32"/>
      <c r="F1159" s="19"/>
      <c r="G1159" s="20"/>
      <c r="H1159" s="20"/>
      <c r="I1159" s="21"/>
      <c r="J1159" s="21"/>
      <c r="K1159" s="22"/>
      <c r="L1159" s="23"/>
    </row>
    <row r="1160" hidden="1">
      <c r="A1160" s="6"/>
      <c r="B1160" s="7"/>
      <c r="C1160" s="8"/>
      <c r="D1160" s="8"/>
      <c r="E1160" s="32"/>
      <c r="F1160" s="10"/>
      <c r="G1160" s="11"/>
      <c r="H1160" s="11"/>
      <c r="I1160" s="12"/>
      <c r="J1160" s="12"/>
      <c r="K1160" s="13"/>
      <c r="L1160" s="14"/>
    </row>
    <row r="1161" hidden="1">
      <c r="A1161" s="15"/>
      <c r="B1161" s="16"/>
      <c r="C1161" s="17"/>
      <c r="D1161" s="17"/>
      <c r="E1161" s="32"/>
      <c r="F1161" s="19"/>
      <c r="G1161" s="20"/>
      <c r="H1161" s="20"/>
      <c r="I1161" s="21"/>
      <c r="J1161" s="21"/>
      <c r="K1161" s="22"/>
      <c r="L1161" s="23"/>
    </row>
    <row r="1162" hidden="1">
      <c r="A1162" s="6"/>
      <c r="B1162" s="7"/>
      <c r="C1162" s="8"/>
      <c r="D1162" s="8"/>
      <c r="E1162" s="32"/>
      <c r="F1162" s="10"/>
      <c r="G1162" s="11"/>
      <c r="H1162" s="11"/>
      <c r="I1162" s="12"/>
      <c r="J1162" s="12"/>
      <c r="K1162" s="13"/>
      <c r="L1162" s="14"/>
    </row>
    <row r="1163" hidden="1">
      <c r="A1163" s="15"/>
      <c r="B1163" s="16"/>
      <c r="C1163" s="17"/>
      <c r="D1163" s="17"/>
      <c r="E1163" s="32"/>
      <c r="F1163" s="19"/>
      <c r="G1163" s="20"/>
      <c r="H1163" s="20"/>
      <c r="I1163" s="21"/>
      <c r="J1163" s="21"/>
      <c r="K1163" s="22"/>
      <c r="L1163" s="23"/>
    </row>
    <row r="1164" hidden="1">
      <c r="A1164" s="6"/>
      <c r="B1164" s="7"/>
      <c r="C1164" s="8"/>
      <c r="D1164" s="8"/>
      <c r="E1164" s="32"/>
      <c r="F1164" s="10"/>
      <c r="G1164" s="11"/>
      <c r="H1164" s="11"/>
      <c r="I1164" s="12"/>
      <c r="J1164" s="12"/>
      <c r="K1164" s="13"/>
      <c r="L1164" s="14"/>
    </row>
    <row r="1165" hidden="1">
      <c r="A1165" s="15"/>
      <c r="B1165" s="16"/>
      <c r="C1165" s="17"/>
      <c r="D1165" s="17"/>
      <c r="E1165" s="32"/>
      <c r="F1165" s="19"/>
      <c r="G1165" s="20"/>
      <c r="H1165" s="20"/>
      <c r="I1165" s="21"/>
      <c r="J1165" s="21"/>
      <c r="K1165" s="22"/>
      <c r="L1165" s="23"/>
    </row>
    <row r="1166" hidden="1">
      <c r="A1166" s="6"/>
      <c r="B1166" s="7"/>
      <c r="C1166" s="8"/>
      <c r="D1166" s="8"/>
      <c r="E1166" s="32"/>
      <c r="F1166" s="10"/>
      <c r="G1166" s="11"/>
      <c r="H1166" s="11"/>
      <c r="I1166" s="12"/>
      <c r="J1166" s="12"/>
      <c r="K1166" s="13"/>
      <c r="L1166" s="14"/>
    </row>
    <row r="1167" hidden="1">
      <c r="A1167" s="15"/>
      <c r="B1167" s="16"/>
      <c r="C1167" s="17"/>
      <c r="D1167" s="17"/>
      <c r="E1167" s="32"/>
      <c r="F1167" s="19"/>
      <c r="G1167" s="20"/>
      <c r="H1167" s="20"/>
      <c r="I1167" s="21"/>
      <c r="J1167" s="21"/>
      <c r="K1167" s="22"/>
      <c r="L1167" s="23"/>
    </row>
    <row r="1168" hidden="1">
      <c r="A1168" s="6"/>
      <c r="B1168" s="7"/>
      <c r="C1168" s="8"/>
      <c r="D1168" s="8"/>
      <c r="E1168" s="32"/>
      <c r="F1168" s="10"/>
      <c r="G1168" s="11"/>
      <c r="H1168" s="11"/>
      <c r="I1168" s="12"/>
      <c r="J1168" s="12"/>
      <c r="K1168" s="13"/>
      <c r="L1168" s="14"/>
    </row>
    <row r="1169" hidden="1">
      <c r="A1169" s="15"/>
      <c r="B1169" s="16"/>
      <c r="C1169" s="17"/>
      <c r="D1169" s="17"/>
      <c r="E1169" s="32"/>
      <c r="F1169" s="19"/>
      <c r="G1169" s="20"/>
      <c r="H1169" s="20"/>
      <c r="I1169" s="21"/>
      <c r="J1169" s="21"/>
      <c r="K1169" s="22"/>
      <c r="L1169" s="23"/>
    </row>
    <row r="1170" hidden="1">
      <c r="A1170" s="6"/>
      <c r="B1170" s="7"/>
      <c r="C1170" s="8"/>
      <c r="D1170" s="8"/>
      <c r="E1170" s="32"/>
      <c r="F1170" s="10"/>
      <c r="G1170" s="11"/>
      <c r="H1170" s="11"/>
      <c r="I1170" s="12"/>
      <c r="J1170" s="12"/>
      <c r="K1170" s="13"/>
      <c r="L1170" s="14"/>
    </row>
    <row r="1171" hidden="1">
      <c r="A1171" s="15"/>
      <c r="B1171" s="16"/>
      <c r="C1171" s="17"/>
      <c r="D1171" s="17"/>
      <c r="E1171" s="32"/>
      <c r="F1171" s="19"/>
      <c r="G1171" s="20"/>
      <c r="H1171" s="20"/>
      <c r="I1171" s="21"/>
      <c r="J1171" s="21"/>
      <c r="K1171" s="22"/>
      <c r="L1171" s="23"/>
    </row>
    <row r="1172" hidden="1">
      <c r="A1172" s="6"/>
      <c r="B1172" s="7"/>
      <c r="C1172" s="8"/>
      <c r="D1172" s="8"/>
      <c r="E1172" s="32"/>
      <c r="F1172" s="10"/>
      <c r="G1172" s="11"/>
      <c r="H1172" s="11"/>
      <c r="I1172" s="12"/>
      <c r="J1172" s="12"/>
      <c r="K1172" s="13"/>
      <c r="L1172" s="14"/>
    </row>
    <row r="1173" hidden="1">
      <c r="A1173" s="15"/>
      <c r="B1173" s="16"/>
      <c r="C1173" s="17"/>
      <c r="D1173" s="17"/>
      <c r="E1173" s="32"/>
      <c r="F1173" s="19"/>
      <c r="G1173" s="20"/>
      <c r="H1173" s="20"/>
      <c r="I1173" s="21"/>
      <c r="J1173" s="21"/>
      <c r="K1173" s="22"/>
      <c r="L1173" s="23"/>
    </row>
    <row r="1174" hidden="1">
      <c r="A1174" s="6"/>
      <c r="B1174" s="7"/>
      <c r="C1174" s="8"/>
      <c r="D1174" s="8"/>
      <c r="E1174" s="32"/>
      <c r="F1174" s="10"/>
      <c r="G1174" s="11"/>
      <c r="H1174" s="11"/>
      <c r="I1174" s="12"/>
      <c r="J1174" s="12"/>
      <c r="K1174" s="13"/>
      <c r="L1174" s="14"/>
    </row>
    <row r="1175" hidden="1">
      <c r="A1175" s="15"/>
      <c r="B1175" s="16"/>
      <c r="C1175" s="17"/>
      <c r="D1175" s="17"/>
      <c r="E1175" s="32"/>
      <c r="F1175" s="19"/>
      <c r="G1175" s="20"/>
      <c r="H1175" s="20"/>
      <c r="I1175" s="21"/>
      <c r="J1175" s="21"/>
      <c r="K1175" s="22"/>
      <c r="L1175" s="23"/>
    </row>
    <row r="1176" hidden="1">
      <c r="A1176" s="6"/>
      <c r="B1176" s="7"/>
      <c r="C1176" s="8"/>
      <c r="D1176" s="8"/>
      <c r="E1176" s="32"/>
      <c r="F1176" s="10"/>
      <c r="G1176" s="11"/>
      <c r="H1176" s="11"/>
      <c r="I1176" s="12"/>
      <c r="J1176" s="12"/>
      <c r="K1176" s="13"/>
      <c r="L1176" s="14"/>
    </row>
    <row r="1177" hidden="1">
      <c r="A1177" s="15"/>
      <c r="B1177" s="16"/>
      <c r="C1177" s="17"/>
      <c r="D1177" s="17"/>
      <c r="E1177" s="32"/>
      <c r="F1177" s="19"/>
      <c r="G1177" s="20"/>
      <c r="H1177" s="20"/>
      <c r="I1177" s="21"/>
      <c r="J1177" s="21"/>
      <c r="K1177" s="22"/>
      <c r="L1177" s="23"/>
    </row>
    <row r="1178" hidden="1">
      <c r="A1178" s="6"/>
      <c r="B1178" s="7"/>
      <c r="C1178" s="8"/>
      <c r="D1178" s="8"/>
      <c r="E1178" s="32"/>
      <c r="F1178" s="10"/>
      <c r="G1178" s="11"/>
      <c r="H1178" s="11"/>
      <c r="I1178" s="12"/>
      <c r="J1178" s="12"/>
      <c r="K1178" s="13"/>
      <c r="L1178" s="14"/>
    </row>
    <row r="1179" hidden="1">
      <c r="A1179" s="15"/>
      <c r="B1179" s="16"/>
      <c r="C1179" s="17"/>
      <c r="D1179" s="17"/>
      <c r="E1179" s="32"/>
      <c r="F1179" s="19"/>
      <c r="G1179" s="20"/>
      <c r="H1179" s="20"/>
      <c r="I1179" s="21"/>
      <c r="J1179" s="21"/>
      <c r="K1179" s="22"/>
      <c r="L1179" s="23"/>
    </row>
    <row r="1180" hidden="1">
      <c r="A1180" s="6"/>
      <c r="B1180" s="7"/>
      <c r="C1180" s="8"/>
      <c r="D1180" s="8"/>
      <c r="E1180" s="32"/>
      <c r="F1180" s="10"/>
      <c r="G1180" s="11"/>
      <c r="H1180" s="11"/>
      <c r="I1180" s="12"/>
      <c r="J1180" s="12"/>
      <c r="K1180" s="13"/>
      <c r="L1180" s="14"/>
    </row>
    <row r="1181" hidden="1">
      <c r="A1181" s="15"/>
      <c r="B1181" s="16"/>
      <c r="C1181" s="17"/>
      <c r="D1181" s="17"/>
      <c r="E1181" s="32"/>
      <c r="F1181" s="19"/>
      <c r="G1181" s="20"/>
      <c r="H1181" s="20"/>
      <c r="I1181" s="21"/>
      <c r="J1181" s="21"/>
      <c r="K1181" s="22"/>
      <c r="L1181" s="23"/>
    </row>
    <row r="1182" hidden="1">
      <c r="A1182" s="6"/>
      <c r="B1182" s="7"/>
      <c r="C1182" s="8"/>
      <c r="D1182" s="8"/>
      <c r="E1182" s="32"/>
      <c r="F1182" s="10"/>
      <c r="G1182" s="11"/>
      <c r="H1182" s="11"/>
      <c r="I1182" s="12"/>
      <c r="J1182" s="12"/>
      <c r="K1182" s="13"/>
      <c r="L1182" s="14"/>
    </row>
    <row r="1183" hidden="1">
      <c r="A1183" s="15"/>
      <c r="B1183" s="16"/>
      <c r="C1183" s="17"/>
      <c r="D1183" s="17"/>
      <c r="E1183" s="32"/>
      <c r="F1183" s="19"/>
      <c r="G1183" s="20"/>
      <c r="H1183" s="20"/>
      <c r="I1183" s="21"/>
      <c r="J1183" s="21"/>
      <c r="K1183" s="22"/>
      <c r="L1183" s="23"/>
    </row>
    <row r="1184" hidden="1">
      <c r="A1184" s="6"/>
      <c r="B1184" s="7"/>
      <c r="C1184" s="8"/>
      <c r="D1184" s="8"/>
      <c r="E1184" s="32"/>
      <c r="F1184" s="10"/>
      <c r="G1184" s="11"/>
      <c r="H1184" s="11"/>
      <c r="I1184" s="12"/>
      <c r="J1184" s="12"/>
      <c r="K1184" s="13"/>
      <c r="L1184" s="14"/>
    </row>
    <row r="1185" hidden="1">
      <c r="A1185" s="15"/>
      <c r="B1185" s="16"/>
      <c r="C1185" s="17"/>
      <c r="D1185" s="17"/>
      <c r="E1185" s="32"/>
      <c r="F1185" s="19"/>
      <c r="G1185" s="20"/>
      <c r="H1185" s="20"/>
      <c r="I1185" s="21"/>
      <c r="J1185" s="21"/>
      <c r="K1185" s="22"/>
      <c r="L1185" s="23"/>
    </row>
    <row r="1186" hidden="1">
      <c r="A1186" s="6"/>
      <c r="B1186" s="7"/>
      <c r="C1186" s="8"/>
      <c r="D1186" s="8"/>
      <c r="E1186" s="32"/>
      <c r="F1186" s="10"/>
      <c r="G1186" s="11"/>
      <c r="H1186" s="11"/>
      <c r="I1186" s="12"/>
      <c r="J1186" s="12"/>
      <c r="K1186" s="13"/>
      <c r="L1186" s="14"/>
    </row>
    <row r="1187" hidden="1">
      <c r="A1187" s="15"/>
      <c r="B1187" s="16"/>
      <c r="C1187" s="17"/>
      <c r="D1187" s="17"/>
      <c r="E1187" s="32"/>
      <c r="F1187" s="19"/>
      <c r="G1187" s="20"/>
      <c r="H1187" s="20"/>
      <c r="I1187" s="21"/>
      <c r="J1187" s="21"/>
      <c r="K1187" s="22"/>
      <c r="L1187" s="23"/>
    </row>
    <row r="1188" hidden="1">
      <c r="A1188" s="6"/>
      <c r="B1188" s="7"/>
      <c r="C1188" s="8"/>
      <c r="D1188" s="8"/>
      <c r="E1188" s="32"/>
      <c r="F1188" s="10"/>
      <c r="G1188" s="11"/>
      <c r="H1188" s="11"/>
      <c r="I1188" s="12"/>
      <c r="J1188" s="12"/>
      <c r="K1188" s="13"/>
      <c r="L1188" s="14"/>
    </row>
    <row r="1189" hidden="1">
      <c r="A1189" s="15"/>
      <c r="B1189" s="16"/>
      <c r="C1189" s="17"/>
      <c r="D1189" s="17"/>
      <c r="E1189" s="32"/>
      <c r="F1189" s="19"/>
      <c r="G1189" s="20"/>
      <c r="H1189" s="20"/>
      <c r="I1189" s="21"/>
      <c r="J1189" s="21"/>
      <c r="K1189" s="22"/>
      <c r="L1189" s="23"/>
    </row>
    <row r="1190" hidden="1">
      <c r="A1190" s="6"/>
      <c r="B1190" s="7"/>
      <c r="C1190" s="8"/>
      <c r="D1190" s="8"/>
      <c r="E1190" s="32"/>
      <c r="F1190" s="10"/>
      <c r="G1190" s="11"/>
      <c r="H1190" s="11"/>
      <c r="I1190" s="12"/>
      <c r="J1190" s="12"/>
      <c r="K1190" s="13"/>
      <c r="L1190" s="14"/>
    </row>
    <row r="1191" hidden="1">
      <c r="A1191" s="15"/>
      <c r="B1191" s="16"/>
      <c r="C1191" s="17"/>
      <c r="D1191" s="17"/>
      <c r="E1191" s="32"/>
      <c r="F1191" s="19"/>
      <c r="G1191" s="20"/>
      <c r="H1191" s="20"/>
      <c r="I1191" s="21"/>
      <c r="J1191" s="21"/>
      <c r="K1191" s="22"/>
      <c r="L1191" s="23"/>
    </row>
    <row r="1192" hidden="1">
      <c r="A1192" s="6"/>
      <c r="B1192" s="7"/>
      <c r="C1192" s="8"/>
      <c r="D1192" s="8"/>
      <c r="E1192" s="32"/>
      <c r="F1192" s="10"/>
      <c r="G1192" s="11"/>
      <c r="H1192" s="11"/>
      <c r="I1192" s="12"/>
      <c r="J1192" s="12"/>
      <c r="K1192" s="13"/>
      <c r="L1192" s="14"/>
    </row>
    <row r="1193" hidden="1">
      <c r="A1193" s="15"/>
      <c r="B1193" s="16"/>
      <c r="C1193" s="17"/>
      <c r="D1193" s="17"/>
      <c r="E1193" s="32"/>
      <c r="F1193" s="19"/>
      <c r="G1193" s="20"/>
      <c r="H1193" s="20"/>
      <c r="I1193" s="21"/>
      <c r="J1193" s="21"/>
      <c r="K1193" s="22"/>
      <c r="L1193" s="23"/>
    </row>
    <row r="1194" hidden="1">
      <c r="A1194" s="6"/>
      <c r="B1194" s="7"/>
      <c r="C1194" s="8"/>
      <c r="D1194" s="8"/>
      <c r="E1194" s="32"/>
      <c r="F1194" s="10"/>
      <c r="G1194" s="11"/>
      <c r="H1194" s="11"/>
      <c r="I1194" s="12"/>
      <c r="J1194" s="12"/>
      <c r="K1194" s="13"/>
      <c r="L1194" s="14"/>
    </row>
    <row r="1195" hidden="1">
      <c r="A1195" s="15"/>
      <c r="B1195" s="16"/>
      <c r="C1195" s="17"/>
      <c r="D1195" s="17"/>
      <c r="E1195" s="32"/>
      <c r="F1195" s="19"/>
      <c r="G1195" s="20"/>
      <c r="H1195" s="20"/>
      <c r="I1195" s="21"/>
      <c r="J1195" s="21"/>
      <c r="K1195" s="22"/>
      <c r="L1195" s="23"/>
    </row>
    <row r="1196" hidden="1">
      <c r="A1196" s="6"/>
      <c r="B1196" s="7"/>
      <c r="C1196" s="8"/>
      <c r="D1196" s="8"/>
      <c r="E1196" s="32"/>
      <c r="F1196" s="10"/>
      <c r="G1196" s="11"/>
      <c r="H1196" s="11"/>
      <c r="I1196" s="12"/>
      <c r="J1196" s="12"/>
      <c r="K1196" s="13"/>
      <c r="L1196" s="14"/>
    </row>
    <row r="1197" hidden="1">
      <c r="A1197" s="15"/>
      <c r="B1197" s="16"/>
      <c r="C1197" s="17"/>
      <c r="D1197" s="17"/>
      <c r="E1197" s="32"/>
      <c r="F1197" s="19"/>
      <c r="G1197" s="20"/>
      <c r="H1197" s="20"/>
      <c r="I1197" s="21"/>
      <c r="J1197" s="21"/>
      <c r="K1197" s="22"/>
      <c r="L1197" s="23"/>
    </row>
    <row r="1198" hidden="1">
      <c r="A1198" s="6"/>
      <c r="B1198" s="7"/>
      <c r="C1198" s="8"/>
      <c r="D1198" s="8"/>
      <c r="E1198" s="32"/>
      <c r="F1198" s="10"/>
      <c r="G1198" s="11"/>
      <c r="H1198" s="11"/>
      <c r="I1198" s="12"/>
      <c r="J1198" s="12"/>
      <c r="K1198" s="13"/>
      <c r="L1198" s="14"/>
    </row>
    <row r="1199" hidden="1">
      <c r="A1199" s="15"/>
      <c r="B1199" s="16"/>
      <c r="C1199" s="17"/>
      <c r="D1199" s="17"/>
      <c r="E1199" s="32"/>
      <c r="F1199" s="19"/>
      <c r="G1199" s="20"/>
      <c r="H1199" s="20"/>
      <c r="I1199" s="21"/>
      <c r="J1199" s="21"/>
      <c r="K1199" s="22"/>
      <c r="L1199" s="23"/>
    </row>
    <row r="1200" hidden="1">
      <c r="A1200" s="6"/>
      <c r="B1200" s="7"/>
      <c r="C1200" s="8"/>
      <c r="D1200" s="8"/>
      <c r="E1200" s="32"/>
      <c r="F1200" s="10"/>
      <c r="G1200" s="11"/>
      <c r="H1200" s="11"/>
      <c r="I1200" s="12"/>
      <c r="J1200" s="12"/>
      <c r="K1200" s="13"/>
      <c r="L1200" s="14"/>
    </row>
    <row r="1201" hidden="1">
      <c r="A1201" s="15"/>
      <c r="B1201" s="16"/>
      <c r="C1201" s="17"/>
      <c r="D1201" s="17"/>
      <c r="E1201" s="32"/>
      <c r="F1201" s="19"/>
      <c r="G1201" s="20"/>
      <c r="H1201" s="20"/>
      <c r="I1201" s="21"/>
      <c r="J1201" s="21"/>
      <c r="K1201" s="22"/>
      <c r="L1201" s="23"/>
    </row>
    <row r="1202" hidden="1">
      <c r="A1202" s="6"/>
      <c r="B1202" s="7"/>
      <c r="C1202" s="8"/>
      <c r="D1202" s="8"/>
      <c r="E1202" s="32"/>
      <c r="F1202" s="10"/>
      <c r="G1202" s="11"/>
      <c r="H1202" s="11"/>
      <c r="I1202" s="12"/>
      <c r="J1202" s="12"/>
      <c r="K1202" s="13"/>
      <c r="L1202" s="14"/>
    </row>
    <row r="1203" hidden="1">
      <c r="A1203" s="15"/>
      <c r="B1203" s="16"/>
      <c r="C1203" s="17"/>
      <c r="D1203" s="17"/>
      <c r="E1203" s="32"/>
      <c r="F1203" s="19"/>
      <c r="G1203" s="20"/>
      <c r="H1203" s="20"/>
      <c r="I1203" s="21"/>
      <c r="J1203" s="21"/>
      <c r="K1203" s="22"/>
      <c r="L1203" s="23"/>
    </row>
    <row r="1204" hidden="1">
      <c r="A1204" s="6"/>
      <c r="B1204" s="7"/>
      <c r="C1204" s="8"/>
      <c r="D1204" s="8"/>
      <c r="E1204" s="32"/>
      <c r="F1204" s="10"/>
      <c r="G1204" s="11"/>
      <c r="H1204" s="11"/>
      <c r="I1204" s="12"/>
      <c r="J1204" s="12"/>
      <c r="K1204" s="13"/>
      <c r="L1204" s="14"/>
    </row>
    <row r="1205" hidden="1">
      <c r="A1205" s="15"/>
      <c r="B1205" s="16"/>
      <c r="C1205" s="17"/>
      <c r="D1205" s="17"/>
      <c r="E1205" s="32"/>
      <c r="F1205" s="19"/>
      <c r="G1205" s="20"/>
      <c r="H1205" s="20"/>
      <c r="I1205" s="21"/>
      <c r="J1205" s="21"/>
      <c r="K1205" s="22"/>
      <c r="L1205" s="23"/>
    </row>
    <row r="1206" hidden="1">
      <c r="A1206" s="6"/>
      <c r="B1206" s="7"/>
      <c r="C1206" s="8"/>
      <c r="D1206" s="8"/>
      <c r="E1206" s="32"/>
      <c r="F1206" s="10"/>
      <c r="G1206" s="11"/>
      <c r="H1206" s="11"/>
      <c r="I1206" s="12"/>
      <c r="J1206" s="12"/>
      <c r="K1206" s="13"/>
      <c r="L1206" s="14"/>
    </row>
    <row r="1207" hidden="1">
      <c r="A1207" s="15"/>
      <c r="B1207" s="16"/>
      <c r="C1207" s="17"/>
      <c r="D1207" s="17"/>
      <c r="E1207" s="32"/>
      <c r="F1207" s="19"/>
      <c r="G1207" s="20"/>
      <c r="H1207" s="20"/>
      <c r="I1207" s="21"/>
      <c r="J1207" s="21"/>
      <c r="K1207" s="22"/>
      <c r="L1207" s="23"/>
    </row>
    <row r="1208" hidden="1">
      <c r="A1208" s="6"/>
      <c r="B1208" s="7"/>
      <c r="C1208" s="8"/>
      <c r="D1208" s="8"/>
      <c r="E1208" s="32"/>
      <c r="F1208" s="10"/>
      <c r="G1208" s="11"/>
      <c r="H1208" s="11"/>
      <c r="I1208" s="12"/>
      <c r="J1208" s="12"/>
      <c r="K1208" s="13"/>
      <c r="L1208" s="14"/>
    </row>
    <row r="1209" hidden="1">
      <c r="A1209" s="15"/>
      <c r="B1209" s="16"/>
      <c r="C1209" s="17"/>
      <c r="D1209" s="17"/>
      <c r="E1209" s="32"/>
      <c r="F1209" s="19"/>
      <c r="G1209" s="20"/>
      <c r="H1209" s="20"/>
      <c r="I1209" s="21"/>
      <c r="J1209" s="21"/>
      <c r="K1209" s="22"/>
      <c r="L1209" s="23"/>
    </row>
    <row r="1210" hidden="1">
      <c r="A1210" s="6"/>
      <c r="B1210" s="7"/>
      <c r="C1210" s="8"/>
      <c r="D1210" s="8"/>
      <c r="E1210" s="32"/>
      <c r="F1210" s="10"/>
      <c r="G1210" s="11"/>
      <c r="H1210" s="11"/>
      <c r="I1210" s="12"/>
      <c r="J1210" s="12"/>
      <c r="K1210" s="13"/>
      <c r="L1210" s="14"/>
    </row>
    <row r="1211" hidden="1">
      <c r="A1211" s="15"/>
      <c r="B1211" s="16"/>
      <c r="C1211" s="17"/>
      <c r="D1211" s="17"/>
      <c r="E1211" s="32"/>
      <c r="F1211" s="19"/>
      <c r="G1211" s="20"/>
      <c r="H1211" s="20"/>
      <c r="I1211" s="21"/>
      <c r="J1211" s="21"/>
      <c r="K1211" s="22"/>
      <c r="L1211" s="23"/>
    </row>
    <row r="1212" hidden="1">
      <c r="A1212" s="6"/>
      <c r="B1212" s="7"/>
      <c r="C1212" s="8"/>
      <c r="D1212" s="8"/>
      <c r="E1212" s="32"/>
      <c r="F1212" s="10"/>
      <c r="G1212" s="11"/>
      <c r="H1212" s="11"/>
      <c r="I1212" s="12"/>
      <c r="J1212" s="12"/>
      <c r="K1212" s="13"/>
      <c r="L1212" s="14"/>
    </row>
    <row r="1213" hidden="1">
      <c r="A1213" s="15"/>
      <c r="B1213" s="16"/>
      <c r="C1213" s="17"/>
      <c r="D1213" s="17"/>
      <c r="E1213" s="32"/>
      <c r="F1213" s="19"/>
      <c r="G1213" s="20"/>
      <c r="H1213" s="20"/>
      <c r="I1213" s="21"/>
      <c r="J1213" s="21"/>
      <c r="K1213" s="22"/>
      <c r="L1213" s="23"/>
    </row>
    <row r="1214" hidden="1">
      <c r="A1214" s="6"/>
      <c r="B1214" s="7"/>
      <c r="C1214" s="8"/>
      <c r="D1214" s="8"/>
      <c r="E1214" s="32"/>
      <c r="F1214" s="10"/>
      <c r="G1214" s="11"/>
      <c r="H1214" s="11"/>
      <c r="I1214" s="12"/>
      <c r="J1214" s="12"/>
      <c r="K1214" s="13"/>
      <c r="L1214" s="14"/>
    </row>
    <row r="1215" hidden="1">
      <c r="A1215" s="15"/>
      <c r="B1215" s="16"/>
      <c r="C1215" s="17"/>
      <c r="D1215" s="17"/>
      <c r="E1215" s="32"/>
      <c r="F1215" s="19"/>
      <c r="G1215" s="20"/>
      <c r="H1215" s="20"/>
      <c r="I1215" s="21"/>
      <c r="J1215" s="21"/>
      <c r="K1215" s="22"/>
      <c r="L1215" s="23"/>
    </row>
    <row r="1216" hidden="1">
      <c r="A1216" s="6"/>
      <c r="B1216" s="7"/>
      <c r="C1216" s="8"/>
      <c r="D1216" s="8"/>
      <c r="E1216" s="32"/>
      <c r="F1216" s="10"/>
      <c r="G1216" s="11"/>
      <c r="H1216" s="11"/>
      <c r="I1216" s="12"/>
      <c r="J1216" s="12"/>
      <c r="K1216" s="13"/>
      <c r="L1216" s="14"/>
    </row>
    <row r="1217" hidden="1">
      <c r="A1217" s="15"/>
      <c r="B1217" s="16"/>
      <c r="C1217" s="17"/>
      <c r="D1217" s="17"/>
      <c r="E1217" s="32"/>
      <c r="F1217" s="19"/>
      <c r="G1217" s="20"/>
      <c r="H1217" s="20"/>
      <c r="I1217" s="21"/>
      <c r="J1217" s="21"/>
      <c r="K1217" s="22"/>
      <c r="L1217" s="23"/>
    </row>
    <row r="1218" hidden="1">
      <c r="A1218" s="6"/>
      <c r="B1218" s="7"/>
      <c r="C1218" s="8"/>
      <c r="D1218" s="8"/>
      <c r="E1218" s="32"/>
      <c r="F1218" s="10"/>
      <c r="G1218" s="11"/>
      <c r="H1218" s="11"/>
      <c r="I1218" s="12"/>
      <c r="J1218" s="12"/>
      <c r="K1218" s="13"/>
      <c r="L1218" s="14"/>
    </row>
    <row r="1219" hidden="1">
      <c r="A1219" s="15"/>
      <c r="B1219" s="16"/>
      <c r="C1219" s="17"/>
      <c r="D1219" s="17"/>
      <c r="E1219" s="32"/>
      <c r="F1219" s="19"/>
      <c r="G1219" s="20"/>
      <c r="H1219" s="20"/>
      <c r="I1219" s="21"/>
      <c r="J1219" s="21"/>
      <c r="K1219" s="22"/>
      <c r="L1219" s="23"/>
    </row>
    <row r="1220" hidden="1">
      <c r="A1220" s="6"/>
      <c r="B1220" s="7"/>
      <c r="C1220" s="8"/>
      <c r="D1220" s="8"/>
      <c r="E1220" s="32"/>
      <c r="F1220" s="10"/>
      <c r="G1220" s="11"/>
      <c r="H1220" s="11"/>
      <c r="I1220" s="12"/>
      <c r="J1220" s="12"/>
      <c r="K1220" s="13"/>
      <c r="L1220" s="14"/>
    </row>
    <row r="1221" hidden="1">
      <c r="A1221" s="15"/>
      <c r="B1221" s="16"/>
      <c r="C1221" s="17"/>
      <c r="D1221" s="17"/>
      <c r="E1221" s="32"/>
      <c r="F1221" s="19"/>
      <c r="G1221" s="20"/>
      <c r="H1221" s="20"/>
      <c r="I1221" s="21"/>
      <c r="J1221" s="21"/>
      <c r="K1221" s="22"/>
      <c r="L1221" s="23"/>
    </row>
    <row r="1222" hidden="1">
      <c r="A1222" s="6"/>
      <c r="B1222" s="7"/>
      <c r="C1222" s="8"/>
      <c r="D1222" s="8"/>
      <c r="E1222" s="32"/>
      <c r="F1222" s="10"/>
      <c r="G1222" s="11"/>
      <c r="H1222" s="11"/>
      <c r="I1222" s="12"/>
      <c r="J1222" s="12"/>
      <c r="K1222" s="13"/>
      <c r="L1222" s="14"/>
    </row>
    <row r="1223" hidden="1">
      <c r="A1223" s="15"/>
      <c r="B1223" s="16"/>
      <c r="C1223" s="17"/>
      <c r="D1223" s="17"/>
      <c r="E1223" s="32"/>
      <c r="F1223" s="19"/>
      <c r="G1223" s="20"/>
      <c r="H1223" s="20"/>
      <c r="I1223" s="21"/>
      <c r="J1223" s="21"/>
      <c r="K1223" s="22"/>
      <c r="L1223" s="23"/>
    </row>
    <row r="1224" hidden="1">
      <c r="A1224" s="6"/>
      <c r="B1224" s="7"/>
      <c r="C1224" s="8"/>
      <c r="D1224" s="8"/>
      <c r="E1224" s="32"/>
      <c r="F1224" s="10"/>
      <c r="G1224" s="11"/>
      <c r="H1224" s="11"/>
      <c r="I1224" s="12"/>
      <c r="J1224" s="12"/>
      <c r="K1224" s="13"/>
      <c r="L1224" s="14"/>
    </row>
    <row r="1225" hidden="1">
      <c r="A1225" s="15"/>
      <c r="B1225" s="16"/>
      <c r="C1225" s="17"/>
      <c r="D1225" s="17"/>
      <c r="E1225" s="32"/>
      <c r="F1225" s="19"/>
      <c r="G1225" s="20"/>
      <c r="H1225" s="20"/>
      <c r="I1225" s="21"/>
      <c r="J1225" s="21"/>
      <c r="K1225" s="22"/>
      <c r="L1225" s="23"/>
    </row>
    <row r="1226" hidden="1">
      <c r="A1226" s="6"/>
      <c r="B1226" s="7"/>
      <c r="C1226" s="8"/>
      <c r="D1226" s="8"/>
      <c r="E1226" s="32"/>
      <c r="F1226" s="10"/>
      <c r="G1226" s="11"/>
      <c r="H1226" s="11"/>
      <c r="I1226" s="12"/>
      <c r="J1226" s="12"/>
      <c r="K1226" s="13"/>
      <c r="L1226" s="14"/>
    </row>
    <row r="1227" hidden="1">
      <c r="A1227" s="15"/>
      <c r="B1227" s="16"/>
      <c r="C1227" s="17"/>
      <c r="D1227" s="17"/>
      <c r="E1227" s="32"/>
      <c r="F1227" s="19"/>
      <c r="G1227" s="20"/>
      <c r="H1227" s="20"/>
      <c r="I1227" s="21"/>
      <c r="J1227" s="21"/>
      <c r="K1227" s="22"/>
      <c r="L1227" s="23"/>
    </row>
    <row r="1228" hidden="1">
      <c r="A1228" s="6"/>
      <c r="B1228" s="7"/>
      <c r="C1228" s="8"/>
      <c r="D1228" s="8"/>
      <c r="E1228" s="32"/>
      <c r="F1228" s="10"/>
      <c r="G1228" s="11"/>
      <c r="H1228" s="11"/>
      <c r="I1228" s="12"/>
      <c r="J1228" s="12"/>
      <c r="K1228" s="13"/>
      <c r="L1228" s="14"/>
    </row>
    <row r="1229" hidden="1">
      <c r="A1229" s="15"/>
      <c r="B1229" s="16"/>
      <c r="C1229" s="17"/>
      <c r="D1229" s="17"/>
      <c r="E1229" s="32"/>
      <c r="F1229" s="19"/>
      <c r="G1229" s="20"/>
      <c r="H1229" s="20"/>
      <c r="I1229" s="21"/>
      <c r="J1229" s="21"/>
      <c r="K1229" s="22"/>
      <c r="L1229" s="23"/>
    </row>
    <row r="1230" hidden="1">
      <c r="A1230" s="6"/>
      <c r="B1230" s="7"/>
      <c r="C1230" s="8"/>
      <c r="D1230" s="8"/>
      <c r="E1230" s="32"/>
      <c r="F1230" s="10"/>
      <c r="G1230" s="11"/>
      <c r="H1230" s="11"/>
      <c r="I1230" s="12"/>
      <c r="J1230" s="12"/>
      <c r="K1230" s="13"/>
      <c r="L1230" s="14"/>
    </row>
    <row r="1231" hidden="1">
      <c r="A1231" s="15"/>
      <c r="B1231" s="16"/>
      <c r="C1231" s="17"/>
      <c r="D1231" s="17"/>
      <c r="E1231" s="32"/>
      <c r="F1231" s="19"/>
      <c r="G1231" s="20"/>
      <c r="H1231" s="20"/>
      <c r="I1231" s="21"/>
      <c r="J1231" s="21"/>
      <c r="K1231" s="22"/>
      <c r="L1231" s="23"/>
    </row>
    <row r="1232" hidden="1">
      <c r="A1232" s="6"/>
      <c r="B1232" s="7"/>
      <c r="C1232" s="8"/>
      <c r="D1232" s="8"/>
      <c r="E1232" s="32"/>
      <c r="F1232" s="10"/>
      <c r="G1232" s="11"/>
      <c r="H1232" s="11"/>
      <c r="I1232" s="12"/>
      <c r="J1232" s="12"/>
      <c r="K1232" s="13"/>
      <c r="L1232" s="14"/>
    </row>
    <row r="1233" hidden="1">
      <c r="A1233" s="15"/>
      <c r="B1233" s="16"/>
      <c r="C1233" s="17"/>
      <c r="D1233" s="17"/>
      <c r="E1233" s="32"/>
      <c r="F1233" s="19"/>
      <c r="G1233" s="20"/>
      <c r="H1233" s="20"/>
      <c r="I1233" s="21"/>
      <c r="J1233" s="21"/>
      <c r="K1233" s="22"/>
      <c r="L1233" s="23"/>
    </row>
    <row r="1234" hidden="1">
      <c r="A1234" s="6"/>
      <c r="B1234" s="7"/>
      <c r="C1234" s="8"/>
      <c r="D1234" s="8"/>
      <c r="E1234" s="32"/>
      <c r="F1234" s="10"/>
      <c r="G1234" s="11"/>
      <c r="H1234" s="11"/>
      <c r="I1234" s="12"/>
      <c r="J1234" s="12"/>
      <c r="K1234" s="13"/>
      <c r="L1234" s="14"/>
    </row>
    <row r="1235" hidden="1">
      <c r="A1235" s="15"/>
      <c r="B1235" s="16"/>
      <c r="C1235" s="17"/>
      <c r="D1235" s="17"/>
      <c r="E1235" s="32"/>
      <c r="F1235" s="19"/>
      <c r="G1235" s="20"/>
      <c r="H1235" s="20"/>
      <c r="I1235" s="21"/>
      <c r="J1235" s="21"/>
      <c r="K1235" s="22"/>
      <c r="L1235" s="23"/>
    </row>
    <row r="1236" hidden="1">
      <c r="A1236" s="6"/>
      <c r="B1236" s="7"/>
      <c r="C1236" s="8"/>
      <c r="D1236" s="8"/>
      <c r="E1236" s="32"/>
      <c r="F1236" s="10"/>
      <c r="G1236" s="11"/>
      <c r="H1236" s="11"/>
      <c r="I1236" s="12"/>
      <c r="J1236" s="12"/>
      <c r="K1236" s="13"/>
      <c r="L1236" s="14"/>
    </row>
    <row r="1237" hidden="1">
      <c r="A1237" s="15"/>
      <c r="B1237" s="16"/>
      <c r="C1237" s="17"/>
      <c r="D1237" s="17"/>
      <c r="E1237" s="32"/>
      <c r="F1237" s="19"/>
      <c r="G1237" s="20"/>
      <c r="H1237" s="20"/>
      <c r="I1237" s="21"/>
      <c r="J1237" s="21"/>
      <c r="K1237" s="22"/>
      <c r="L1237" s="23"/>
    </row>
    <row r="1238" hidden="1">
      <c r="A1238" s="6"/>
      <c r="B1238" s="7"/>
      <c r="C1238" s="8"/>
      <c r="D1238" s="8"/>
      <c r="E1238" s="32"/>
      <c r="F1238" s="10"/>
      <c r="G1238" s="11"/>
      <c r="H1238" s="11"/>
      <c r="I1238" s="12"/>
      <c r="J1238" s="12"/>
      <c r="K1238" s="13"/>
      <c r="L1238" s="14"/>
    </row>
    <row r="1239" hidden="1">
      <c r="A1239" s="15"/>
      <c r="B1239" s="16"/>
      <c r="C1239" s="17"/>
      <c r="D1239" s="17"/>
      <c r="E1239" s="32"/>
      <c r="F1239" s="19"/>
      <c r="G1239" s="20"/>
      <c r="H1239" s="20"/>
      <c r="I1239" s="21"/>
      <c r="J1239" s="21"/>
      <c r="K1239" s="22"/>
      <c r="L1239" s="23"/>
    </row>
    <row r="1240" hidden="1">
      <c r="A1240" s="6"/>
      <c r="B1240" s="7"/>
      <c r="C1240" s="8"/>
      <c r="D1240" s="8"/>
      <c r="E1240" s="32"/>
      <c r="F1240" s="10"/>
      <c r="G1240" s="11"/>
      <c r="H1240" s="11"/>
      <c r="I1240" s="12"/>
      <c r="J1240" s="12"/>
      <c r="K1240" s="13"/>
      <c r="L1240" s="14"/>
    </row>
    <row r="1241" hidden="1">
      <c r="A1241" s="15"/>
      <c r="B1241" s="16"/>
      <c r="C1241" s="17"/>
      <c r="D1241" s="17"/>
      <c r="E1241" s="32"/>
      <c r="F1241" s="19"/>
      <c r="G1241" s="20"/>
      <c r="H1241" s="20"/>
      <c r="I1241" s="21"/>
      <c r="J1241" s="21"/>
      <c r="K1241" s="22"/>
      <c r="L1241" s="23"/>
    </row>
    <row r="1242" hidden="1">
      <c r="A1242" s="6"/>
      <c r="B1242" s="7"/>
      <c r="C1242" s="8"/>
      <c r="D1242" s="8"/>
      <c r="E1242" s="32"/>
      <c r="F1242" s="10"/>
      <c r="G1242" s="11"/>
      <c r="H1242" s="11"/>
      <c r="I1242" s="12"/>
      <c r="J1242" s="12"/>
      <c r="K1242" s="13"/>
      <c r="L1242" s="14"/>
    </row>
    <row r="1243" hidden="1">
      <c r="A1243" s="15"/>
      <c r="B1243" s="16"/>
      <c r="C1243" s="17"/>
      <c r="D1243" s="17"/>
      <c r="E1243" s="32"/>
      <c r="F1243" s="19"/>
      <c r="G1243" s="20"/>
      <c r="H1243" s="20"/>
      <c r="I1243" s="21"/>
      <c r="J1243" s="21"/>
      <c r="K1243" s="22"/>
      <c r="L1243" s="23"/>
    </row>
    <row r="1244" hidden="1">
      <c r="A1244" s="6"/>
      <c r="B1244" s="7"/>
      <c r="C1244" s="8"/>
      <c r="D1244" s="8"/>
      <c r="E1244" s="32"/>
      <c r="F1244" s="10"/>
      <c r="G1244" s="11"/>
      <c r="H1244" s="11"/>
      <c r="I1244" s="12"/>
      <c r="J1244" s="12"/>
      <c r="K1244" s="13"/>
      <c r="L1244" s="14"/>
    </row>
    <row r="1245" hidden="1">
      <c r="A1245" s="15"/>
      <c r="B1245" s="16"/>
      <c r="C1245" s="17"/>
      <c r="D1245" s="17"/>
      <c r="E1245" s="32"/>
      <c r="F1245" s="19"/>
      <c r="G1245" s="20"/>
      <c r="H1245" s="20"/>
      <c r="I1245" s="21"/>
      <c r="J1245" s="21"/>
      <c r="K1245" s="22"/>
      <c r="L1245" s="23"/>
    </row>
    <row r="1246" hidden="1">
      <c r="A1246" s="6"/>
      <c r="B1246" s="7"/>
      <c r="C1246" s="8"/>
      <c r="D1246" s="8"/>
      <c r="E1246" s="32"/>
      <c r="F1246" s="10"/>
      <c r="G1246" s="11"/>
      <c r="H1246" s="11"/>
      <c r="I1246" s="12"/>
      <c r="J1246" s="12"/>
      <c r="K1246" s="13"/>
      <c r="L1246" s="14"/>
    </row>
    <row r="1247" hidden="1">
      <c r="A1247" s="15"/>
      <c r="B1247" s="16"/>
      <c r="C1247" s="17"/>
      <c r="D1247" s="17"/>
      <c r="E1247" s="32"/>
      <c r="F1247" s="19"/>
      <c r="G1247" s="20"/>
      <c r="H1247" s="20"/>
      <c r="I1247" s="21"/>
      <c r="J1247" s="21"/>
      <c r="K1247" s="22"/>
      <c r="L1247" s="23"/>
    </row>
    <row r="1248" hidden="1">
      <c r="A1248" s="6"/>
      <c r="B1248" s="7"/>
      <c r="C1248" s="8"/>
      <c r="D1248" s="8"/>
      <c r="E1248" s="32"/>
      <c r="F1248" s="10"/>
      <c r="G1248" s="11"/>
      <c r="H1248" s="11"/>
      <c r="I1248" s="12"/>
      <c r="J1248" s="12"/>
      <c r="K1248" s="13"/>
      <c r="L1248" s="14"/>
    </row>
    <row r="1249" hidden="1">
      <c r="A1249" s="15"/>
      <c r="B1249" s="16"/>
      <c r="C1249" s="17"/>
      <c r="D1249" s="17"/>
      <c r="E1249" s="32"/>
      <c r="F1249" s="19"/>
      <c r="G1249" s="20"/>
      <c r="H1249" s="20"/>
      <c r="I1249" s="21"/>
      <c r="J1249" s="21"/>
      <c r="K1249" s="22"/>
      <c r="L1249" s="23"/>
    </row>
    <row r="1250" hidden="1">
      <c r="A1250" s="6"/>
      <c r="B1250" s="7"/>
      <c r="C1250" s="8"/>
      <c r="D1250" s="8"/>
      <c r="E1250" s="32"/>
      <c r="F1250" s="10"/>
      <c r="G1250" s="11"/>
      <c r="H1250" s="11"/>
      <c r="I1250" s="12"/>
      <c r="J1250" s="12"/>
      <c r="K1250" s="13"/>
      <c r="L1250" s="14"/>
    </row>
    <row r="1251" hidden="1">
      <c r="A1251" s="15"/>
      <c r="B1251" s="16"/>
      <c r="C1251" s="17"/>
      <c r="D1251" s="17"/>
      <c r="E1251" s="32"/>
      <c r="F1251" s="19"/>
      <c r="G1251" s="20"/>
      <c r="H1251" s="20"/>
      <c r="I1251" s="21"/>
      <c r="J1251" s="21"/>
      <c r="K1251" s="22"/>
      <c r="L1251" s="23"/>
    </row>
    <row r="1252" hidden="1">
      <c r="A1252" s="6"/>
      <c r="B1252" s="7"/>
      <c r="C1252" s="8"/>
      <c r="D1252" s="8"/>
      <c r="E1252" s="32"/>
      <c r="F1252" s="10"/>
      <c r="G1252" s="11"/>
      <c r="H1252" s="11"/>
      <c r="I1252" s="12"/>
      <c r="J1252" s="12"/>
      <c r="K1252" s="13"/>
      <c r="L1252" s="14"/>
    </row>
    <row r="1253" hidden="1">
      <c r="A1253" s="15"/>
      <c r="B1253" s="16"/>
      <c r="C1253" s="17"/>
      <c r="D1253" s="17"/>
      <c r="E1253" s="32"/>
      <c r="F1253" s="19"/>
      <c r="G1253" s="20"/>
      <c r="H1253" s="20"/>
      <c r="I1253" s="21"/>
      <c r="J1253" s="21"/>
      <c r="K1253" s="22"/>
      <c r="L1253" s="23"/>
    </row>
    <row r="1254" hidden="1">
      <c r="A1254" s="6"/>
      <c r="B1254" s="7"/>
      <c r="C1254" s="8"/>
      <c r="D1254" s="8"/>
      <c r="E1254" s="32"/>
      <c r="F1254" s="10"/>
      <c r="G1254" s="11"/>
      <c r="H1254" s="11"/>
      <c r="I1254" s="12"/>
      <c r="J1254" s="12"/>
      <c r="K1254" s="13"/>
      <c r="L1254" s="14"/>
    </row>
    <row r="1255" hidden="1">
      <c r="A1255" s="15"/>
      <c r="B1255" s="16"/>
      <c r="C1255" s="17"/>
      <c r="D1255" s="17"/>
      <c r="E1255" s="32"/>
      <c r="F1255" s="19"/>
      <c r="G1255" s="20"/>
      <c r="H1255" s="20"/>
      <c r="I1255" s="21"/>
      <c r="J1255" s="21"/>
      <c r="K1255" s="22"/>
      <c r="L1255" s="23"/>
    </row>
    <row r="1256" hidden="1">
      <c r="A1256" s="6"/>
      <c r="B1256" s="7"/>
      <c r="C1256" s="8"/>
      <c r="D1256" s="8"/>
      <c r="E1256" s="32"/>
      <c r="F1256" s="10"/>
      <c r="G1256" s="11"/>
      <c r="H1256" s="11"/>
      <c r="I1256" s="12"/>
      <c r="J1256" s="12"/>
      <c r="K1256" s="13"/>
      <c r="L1256" s="14"/>
    </row>
    <row r="1257" hidden="1">
      <c r="A1257" s="15"/>
      <c r="B1257" s="16"/>
      <c r="C1257" s="17"/>
      <c r="D1257" s="17"/>
      <c r="E1257" s="32"/>
      <c r="F1257" s="19"/>
      <c r="G1257" s="20"/>
      <c r="H1257" s="20"/>
      <c r="I1257" s="21"/>
      <c r="J1257" s="21"/>
      <c r="K1257" s="22"/>
      <c r="L1257" s="23"/>
    </row>
    <row r="1258" hidden="1">
      <c r="A1258" s="6"/>
      <c r="B1258" s="7"/>
      <c r="C1258" s="8"/>
      <c r="D1258" s="8"/>
      <c r="E1258" s="32"/>
      <c r="F1258" s="10"/>
      <c r="G1258" s="11"/>
      <c r="H1258" s="11"/>
      <c r="I1258" s="12"/>
      <c r="J1258" s="12"/>
      <c r="K1258" s="13"/>
      <c r="L1258" s="14"/>
    </row>
    <row r="1259" hidden="1">
      <c r="A1259" s="15"/>
      <c r="B1259" s="16"/>
      <c r="C1259" s="17"/>
      <c r="D1259" s="17"/>
      <c r="E1259" s="32"/>
      <c r="F1259" s="19"/>
      <c r="G1259" s="20"/>
      <c r="H1259" s="20"/>
      <c r="I1259" s="21"/>
      <c r="J1259" s="21"/>
      <c r="K1259" s="22"/>
      <c r="L1259" s="23"/>
    </row>
    <row r="1260" hidden="1">
      <c r="A1260" s="6"/>
      <c r="B1260" s="7"/>
      <c r="C1260" s="8"/>
      <c r="D1260" s="8"/>
      <c r="E1260" s="32"/>
      <c r="F1260" s="10"/>
      <c r="G1260" s="11"/>
      <c r="H1260" s="11"/>
      <c r="I1260" s="12"/>
      <c r="J1260" s="12"/>
      <c r="K1260" s="13"/>
      <c r="L1260" s="14"/>
    </row>
    <row r="1261" hidden="1">
      <c r="A1261" s="15"/>
      <c r="B1261" s="16"/>
      <c r="C1261" s="17"/>
      <c r="D1261" s="17"/>
      <c r="E1261" s="32"/>
      <c r="F1261" s="19"/>
      <c r="G1261" s="20"/>
      <c r="H1261" s="20"/>
      <c r="I1261" s="21"/>
      <c r="J1261" s="21"/>
      <c r="K1261" s="22"/>
      <c r="L1261" s="23"/>
    </row>
    <row r="1262" hidden="1">
      <c r="A1262" s="6"/>
      <c r="B1262" s="7"/>
      <c r="C1262" s="8"/>
      <c r="D1262" s="8"/>
      <c r="E1262" s="32"/>
      <c r="F1262" s="10"/>
      <c r="G1262" s="11"/>
      <c r="H1262" s="11"/>
      <c r="I1262" s="12"/>
      <c r="J1262" s="12"/>
      <c r="K1262" s="13"/>
      <c r="L1262" s="14"/>
    </row>
    <row r="1263" hidden="1">
      <c r="A1263" s="15"/>
      <c r="B1263" s="16"/>
      <c r="C1263" s="17"/>
      <c r="D1263" s="17"/>
      <c r="E1263" s="32"/>
      <c r="F1263" s="19"/>
      <c r="G1263" s="20"/>
      <c r="H1263" s="20"/>
      <c r="I1263" s="21"/>
      <c r="J1263" s="21"/>
      <c r="K1263" s="22"/>
      <c r="L1263" s="23"/>
    </row>
    <row r="1264" hidden="1">
      <c r="A1264" s="6"/>
      <c r="B1264" s="7"/>
      <c r="C1264" s="8"/>
      <c r="D1264" s="8"/>
      <c r="E1264" s="32"/>
      <c r="F1264" s="10"/>
      <c r="G1264" s="11"/>
      <c r="H1264" s="11"/>
      <c r="I1264" s="12"/>
      <c r="J1264" s="12"/>
      <c r="K1264" s="13"/>
      <c r="L1264" s="14"/>
    </row>
    <row r="1265" hidden="1">
      <c r="A1265" s="15"/>
      <c r="B1265" s="16"/>
      <c r="C1265" s="17"/>
      <c r="D1265" s="17"/>
      <c r="E1265" s="32"/>
      <c r="F1265" s="19"/>
      <c r="G1265" s="20"/>
      <c r="H1265" s="20"/>
      <c r="I1265" s="21"/>
      <c r="J1265" s="21"/>
      <c r="K1265" s="22"/>
      <c r="L1265" s="23"/>
    </row>
    <row r="1266" hidden="1">
      <c r="A1266" s="6"/>
      <c r="B1266" s="7"/>
      <c r="C1266" s="8"/>
      <c r="D1266" s="8"/>
      <c r="E1266" s="32"/>
      <c r="F1266" s="10"/>
      <c r="G1266" s="11"/>
      <c r="H1266" s="11"/>
      <c r="I1266" s="12"/>
      <c r="J1266" s="12"/>
      <c r="K1266" s="13"/>
      <c r="L1266" s="14"/>
    </row>
    <row r="1267" hidden="1">
      <c r="A1267" s="15"/>
      <c r="B1267" s="16"/>
      <c r="C1267" s="17"/>
      <c r="D1267" s="17"/>
      <c r="E1267" s="32"/>
      <c r="F1267" s="19"/>
      <c r="G1267" s="20"/>
      <c r="H1267" s="20"/>
      <c r="I1267" s="21"/>
      <c r="J1267" s="21"/>
      <c r="K1267" s="22"/>
      <c r="L1267" s="23"/>
    </row>
    <row r="1268" hidden="1">
      <c r="A1268" s="6"/>
      <c r="B1268" s="7"/>
      <c r="C1268" s="8"/>
      <c r="D1268" s="8"/>
      <c r="E1268" s="32"/>
      <c r="F1268" s="10"/>
      <c r="G1268" s="11"/>
      <c r="H1268" s="11"/>
      <c r="I1268" s="12"/>
      <c r="J1268" s="12"/>
      <c r="K1268" s="13"/>
      <c r="L1268" s="14"/>
    </row>
    <row r="1269" hidden="1">
      <c r="A1269" s="15"/>
      <c r="B1269" s="16"/>
      <c r="C1269" s="17"/>
      <c r="D1269" s="17"/>
      <c r="E1269" s="32"/>
      <c r="F1269" s="19"/>
      <c r="G1269" s="20"/>
      <c r="H1269" s="20"/>
      <c r="I1269" s="21"/>
      <c r="J1269" s="21"/>
      <c r="K1269" s="22"/>
      <c r="L1269" s="23"/>
    </row>
    <row r="1270" hidden="1">
      <c r="A1270" s="6"/>
      <c r="B1270" s="7"/>
      <c r="C1270" s="8"/>
      <c r="D1270" s="8"/>
      <c r="E1270" s="32"/>
      <c r="F1270" s="10"/>
      <c r="G1270" s="11"/>
      <c r="H1270" s="11"/>
      <c r="I1270" s="12"/>
      <c r="J1270" s="12"/>
      <c r="K1270" s="13"/>
      <c r="L1270" s="14"/>
    </row>
    <row r="1271" hidden="1">
      <c r="A1271" s="15"/>
      <c r="B1271" s="16"/>
      <c r="C1271" s="17"/>
      <c r="D1271" s="17"/>
      <c r="E1271" s="32"/>
      <c r="F1271" s="19"/>
      <c r="G1271" s="20"/>
      <c r="H1271" s="20"/>
      <c r="I1271" s="21"/>
      <c r="J1271" s="21"/>
      <c r="K1271" s="22"/>
      <c r="L1271" s="23"/>
    </row>
    <row r="1272" hidden="1">
      <c r="A1272" s="6"/>
      <c r="B1272" s="7"/>
      <c r="C1272" s="8"/>
      <c r="D1272" s="8"/>
      <c r="E1272" s="32"/>
      <c r="F1272" s="10"/>
      <c r="G1272" s="11"/>
      <c r="H1272" s="11"/>
      <c r="I1272" s="12"/>
      <c r="J1272" s="12"/>
      <c r="K1272" s="13"/>
      <c r="L1272" s="14"/>
    </row>
    <row r="1273" hidden="1">
      <c r="A1273" s="15"/>
      <c r="B1273" s="16"/>
      <c r="C1273" s="17"/>
      <c r="D1273" s="17"/>
      <c r="E1273" s="32"/>
      <c r="F1273" s="19"/>
      <c r="G1273" s="20"/>
      <c r="H1273" s="20"/>
      <c r="I1273" s="21"/>
      <c r="J1273" s="21"/>
      <c r="K1273" s="22"/>
      <c r="L1273" s="23"/>
    </row>
    <row r="1274" hidden="1">
      <c r="A1274" s="6"/>
      <c r="B1274" s="7"/>
      <c r="C1274" s="8"/>
      <c r="D1274" s="8"/>
      <c r="E1274" s="32"/>
      <c r="F1274" s="10"/>
      <c r="G1274" s="11"/>
      <c r="H1274" s="11"/>
      <c r="I1274" s="12"/>
      <c r="J1274" s="12"/>
      <c r="K1274" s="13"/>
      <c r="L1274" s="14"/>
    </row>
    <row r="1275" hidden="1">
      <c r="A1275" s="15"/>
      <c r="B1275" s="16"/>
      <c r="C1275" s="17"/>
      <c r="D1275" s="17"/>
      <c r="E1275" s="32"/>
      <c r="F1275" s="19"/>
      <c r="G1275" s="20"/>
      <c r="H1275" s="20"/>
      <c r="I1275" s="21"/>
      <c r="J1275" s="21"/>
      <c r="K1275" s="22"/>
      <c r="L1275" s="23"/>
    </row>
    <row r="1276" hidden="1">
      <c r="A1276" s="6"/>
      <c r="B1276" s="7"/>
      <c r="C1276" s="8"/>
      <c r="D1276" s="8"/>
      <c r="E1276" s="32"/>
      <c r="F1276" s="10"/>
      <c r="G1276" s="11"/>
      <c r="H1276" s="11"/>
      <c r="I1276" s="12"/>
      <c r="J1276" s="12"/>
      <c r="K1276" s="13"/>
      <c r="L1276" s="14"/>
    </row>
    <row r="1277" hidden="1">
      <c r="A1277" s="15"/>
      <c r="B1277" s="16"/>
      <c r="C1277" s="17"/>
      <c r="D1277" s="17"/>
      <c r="E1277" s="32"/>
      <c r="F1277" s="19"/>
      <c r="G1277" s="20"/>
      <c r="H1277" s="20"/>
      <c r="I1277" s="21"/>
      <c r="J1277" s="21"/>
      <c r="K1277" s="22"/>
      <c r="L1277" s="23"/>
    </row>
    <row r="1278" hidden="1">
      <c r="A1278" s="6"/>
      <c r="B1278" s="7"/>
      <c r="C1278" s="8"/>
      <c r="D1278" s="8"/>
      <c r="E1278" s="32"/>
      <c r="F1278" s="10"/>
      <c r="G1278" s="11"/>
      <c r="H1278" s="11"/>
      <c r="I1278" s="12"/>
      <c r="J1278" s="12"/>
      <c r="K1278" s="13"/>
      <c r="L1278" s="14"/>
    </row>
    <row r="1279" hidden="1">
      <c r="A1279" s="15"/>
      <c r="B1279" s="16"/>
      <c r="C1279" s="17"/>
      <c r="D1279" s="17"/>
      <c r="E1279" s="32"/>
      <c r="F1279" s="19"/>
      <c r="G1279" s="20"/>
      <c r="H1279" s="20"/>
      <c r="I1279" s="21"/>
      <c r="J1279" s="21"/>
      <c r="K1279" s="22"/>
      <c r="L1279" s="23"/>
    </row>
    <row r="1280" hidden="1">
      <c r="A1280" s="6"/>
      <c r="B1280" s="7"/>
      <c r="C1280" s="8"/>
      <c r="D1280" s="8"/>
      <c r="E1280" s="32"/>
      <c r="F1280" s="10"/>
      <c r="G1280" s="11"/>
      <c r="H1280" s="11"/>
      <c r="I1280" s="12"/>
      <c r="J1280" s="12"/>
      <c r="K1280" s="13"/>
      <c r="L1280" s="14"/>
    </row>
    <row r="1281" hidden="1">
      <c r="A1281" s="15"/>
      <c r="B1281" s="16"/>
      <c r="C1281" s="17"/>
      <c r="D1281" s="17"/>
      <c r="E1281" s="32"/>
      <c r="F1281" s="19"/>
      <c r="G1281" s="20"/>
      <c r="H1281" s="20"/>
      <c r="I1281" s="21"/>
      <c r="J1281" s="21"/>
      <c r="K1281" s="22"/>
      <c r="L1281" s="23"/>
    </row>
    <row r="1282" hidden="1">
      <c r="A1282" s="6"/>
      <c r="B1282" s="7"/>
      <c r="C1282" s="8"/>
      <c r="D1282" s="8"/>
      <c r="E1282" s="32"/>
      <c r="F1282" s="10"/>
      <c r="G1282" s="11"/>
      <c r="H1282" s="11"/>
      <c r="I1282" s="12"/>
      <c r="J1282" s="12"/>
      <c r="K1282" s="13"/>
      <c r="L1282" s="14"/>
    </row>
    <row r="1283" hidden="1">
      <c r="A1283" s="15"/>
      <c r="B1283" s="16"/>
      <c r="C1283" s="17"/>
      <c r="D1283" s="17"/>
      <c r="E1283" s="32"/>
      <c r="F1283" s="19"/>
      <c r="G1283" s="20"/>
      <c r="H1283" s="20"/>
      <c r="I1283" s="21"/>
      <c r="J1283" s="21"/>
      <c r="K1283" s="22"/>
      <c r="L1283" s="23"/>
    </row>
    <row r="1284" hidden="1">
      <c r="A1284" s="6"/>
      <c r="B1284" s="7"/>
      <c r="C1284" s="8"/>
      <c r="D1284" s="8"/>
      <c r="E1284" s="32"/>
      <c r="F1284" s="10"/>
      <c r="G1284" s="11"/>
      <c r="H1284" s="11"/>
      <c r="I1284" s="12"/>
      <c r="J1284" s="12"/>
      <c r="K1284" s="13"/>
      <c r="L1284" s="14"/>
    </row>
    <row r="1285" hidden="1">
      <c r="A1285" s="15"/>
      <c r="B1285" s="16"/>
      <c r="C1285" s="17"/>
      <c r="D1285" s="17"/>
      <c r="E1285" s="32"/>
      <c r="F1285" s="19"/>
      <c r="G1285" s="20"/>
      <c r="H1285" s="20"/>
      <c r="I1285" s="21"/>
      <c r="J1285" s="21"/>
      <c r="K1285" s="22"/>
      <c r="L1285" s="23"/>
    </row>
    <row r="1286" hidden="1">
      <c r="A1286" s="6"/>
      <c r="B1286" s="7"/>
      <c r="C1286" s="8"/>
      <c r="D1286" s="8"/>
      <c r="E1286" s="32"/>
      <c r="F1286" s="10"/>
      <c r="G1286" s="11"/>
      <c r="H1286" s="11"/>
      <c r="I1286" s="12"/>
      <c r="J1286" s="12"/>
      <c r="K1286" s="13"/>
      <c r="L1286" s="14"/>
    </row>
    <row r="1287" hidden="1">
      <c r="A1287" s="15"/>
      <c r="B1287" s="16"/>
      <c r="C1287" s="17"/>
      <c r="D1287" s="17"/>
      <c r="E1287" s="32"/>
      <c r="F1287" s="19"/>
      <c r="G1287" s="20"/>
      <c r="H1287" s="20"/>
      <c r="I1287" s="21"/>
      <c r="J1287" s="21"/>
      <c r="K1287" s="22"/>
      <c r="L1287" s="23"/>
    </row>
    <row r="1288" hidden="1">
      <c r="A1288" s="6"/>
      <c r="B1288" s="7"/>
      <c r="C1288" s="8"/>
      <c r="D1288" s="8"/>
      <c r="E1288" s="32"/>
      <c r="F1288" s="10"/>
      <c r="G1288" s="11"/>
      <c r="H1288" s="11"/>
      <c r="I1288" s="12"/>
      <c r="J1288" s="12"/>
      <c r="K1288" s="13"/>
      <c r="L1288" s="14"/>
    </row>
    <row r="1289" hidden="1">
      <c r="A1289" s="15"/>
      <c r="B1289" s="16"/>
      <c r="C1289" s="17"/>
      <c r="D1289" s="17"/>
      <c r="E1289" s="32"/>
      <c r="F1289" s="19"/>
      <c r="G1289" s="20"/>
      <c r="H1289" s="20"/>
      <c r="I1289" s="21"/>
      <c r="J1289" s="21"/>
      <c r="K1289" s="22"/>
      <c r="L1289" s="23"/>
    </row>
    <row r="1290" hidden="1">
      <c r="A1290" s="6"/>
      <c r="B1290" s="7"/>
      <c r="C1290" s="8"/>
      <c r="D1290" s="8"/>
      <c r="E1290" s="32"/>
      <c r="F1290" s="10"/>
      <c r="G1290" s="11"/>
      <c r="H1290" s="11"/>
      <c r="I1290" s="12"/>
      <c r="J1290" s="12"/>
      <c r="K1290" s="13"/>
      <c r="L1290" s="14"/>
    </row>
    <row r="1291" hidden="1">
      <c r="A1291" s="15"/>
      <c r="B1291" s="16"/>
      <c r="C1291" s="17"/>
      <c r="D1291" s="17"/>
      <c r="E1291" s="32"/>
      <c r="F1291" s="19"/>
      <c r="G1291" s="20"/>
      <c r="H1291" s="20"/>
      <c r="I1291" s="21"/>
      <c r="J1291" s="21"/>
      <c r="K1291" s="22"/>
      <c r="L1291" s="23"/>
    </row>
    <row r="1292" hidden="1">
      <c r="A1292" s="6"/>
      <c r="B1292" s="7"/>
      <c r="C1292" s="8"/>
      <c r="D1292" s="8"/>
      <c r="E1292" s="32"/>
      <c r="F1292" s="10"/>
      <c r="G1292" s="11"/>
      <c r="H1292" s="11"/>
      <c r="I1292" s="12"/>
      <c r="J1292" s="12"/>
      <c r="K1292" s="13"/>
      <c r="L1292" s="14"/>
    </row>
    <row r="1293" hidden="1">
      <c r="A1293" s="15"/>
      <c r="B1293" s="16"/>
      <c r="C1293" s="17"/>
      <c r="D1293" s="17"/>
      <c r="E1293" s="32"/>
      <c r="F1293" s="19"/>
      <c r="G1293" s="20"/>
      <c r="H1293" s="20"/>
      <c r="I1293" s="21"/>
      <c r="J1293" s="21"/>
      <c r="K1293" s="22"/>
      <c r="L1293" s="23"/>
    </row>
    <row r="1294" hidden="1">
      <c r="A1294" s="6"/>
      <c r="B1294" s="7"/>
      <c r="C1294" s="8"/>
      <c r="D1294" s="8"/>
      <c r="E1294" s="32"/>
      <c r="F1294" s="10"/>
      <c r="G1294" s="11"/>
      <c r="H1294" s="11"/>
      <c r="I1294" s="12"/>
      <c r="J1294" s="12"/>
      <c r="K1294" s="13"/>
      <c r="L1294" s="14"/>
    </row>
    <row r="1295" hidden="1">
      <c r="A1295" s="15"/>
      <c r="B1295" s="16"/>
      <c r="C1295" s="17"/>
      <c r="D1295" s="17"/>
      <c r="E1295" s="32"/>
      <c r="F1295" s="19"/>
      <c r="G1295" s="20"/>
      <c r="H1295" s="20"/>
      <c r="I1295" s="21"/>
      <c r="J1295" s="21"/>
      <c r="K1295" s="22"/>
      <c r="L1295" s="23"/>
    </row>
    <row r="1296" hidden="1">
      <c r="A1296" s="6"/>
      <c r="B1296" s="7"/>
      <c r="C1296" s="8"/>
      <c r="D1296" s="8"/>
      <c r="E1296" s="32"/>
      <c r="F1296" s="10"/>
      <c r="G1296" s="11"/>
      <c r="H1296" s="11"/>
      <c r="I1296" s="12"/>
      <c r="J1296" s="12"/>
      <c r="K1296" s="13"/>
      <c r="L1296" s="14"/>
    </row>
    <row r="1297" hidden="1">
      <c r="A1297" s="15"/>
      <c r="B1297" s="16"/>
      <c r="C1297" s="17"/>
      <c r="D1297" s="17"/>
      <c r="E1297" s="32"/>
      <c r="F1297" s="19"/>
      <c r="G1297" s="20"/>
      <c r="H1297" s="20"/>
      <c r="I1297" s="21"/>
      <c r="J1297" s="21"/>
      <c r="K1297" s="22"/>
      <c r="L1297" s="23"/>
    </row>
    <row r="1298" hidden="1">
      <c r="A1298" s="6"/>
      <c r="B1298" s="7"/>
      <c r="C1298" s="8"/>
      <c r="D1298" s="8"/>
      <c r="E1298" s="32"/>
      <c r="F1298" s="10"/>
      <c r="G1298" s="11"/>
      <c r="H1298" s="11"/>
      <c r="I1298" s="12"/>
      <c r="J1298" s="12"/>
      <c r="K1298" s="13"/>
      <c r="L1298" s="14"/>
    </row>
    <row r="1299" hidden="1">
      <c r="A1299" s="15"/>
      <c r="B1299" s="16"/>
      <c r="C1299" s="17"/>
      <c r="D1299" s="17"/>
      <c r="E1299" s="32"/>
      <c r="F1299" s="19"/>
      <c r="G1299" s="20"/>
      <c r="H1299" s="20"/>
      <c r="I1299" s="21"/>
      <c r="J1299" s="21"/>
      <c r="K1299" s="22"/>
      <c r="L1299" s="23"/>
    </row>
    <row r="1300" hidden="1">
      <c r="A1300" s="6"/>
      <c r="B1300" s="7"/>
      <c r="C1300" s="8"/>
      <c r="D1300" s="8"/>
      <c r="E1300" s="32"/>
      <c r="F1300" s="10"/>
      <c r="G1300" s="11"/>
      <c r="H1300" s="11"/>
      <c r="I1300" s="12"/>
      <c r="J1300" s="12"/>
      <c r="K1300" s="13"/>
      <c r="L1300" s="14"/>
    </row>
    <row r="1301" hidden="1">
      <c r="A1301" s="15"/>
      <c r="B1301" s="16"/>
      <c r="C1301" s="17"/>
      <c r="D1301" s="17"/>
      <c r="E1301" s="32"/>
      <c r="F1301" s="19"/>
      <c r="G1301" s="20"/>
      <c r="H1301" s="20"/>
      <c r="I1301" s="21"/>
      <c r="J1301" s="21"/>
      <c r="K1301" s="22"/>
      <c r="L1301" s="23"/>
    </row>
    <row r="1302" hidden="1">
      <c r="A1302" s="6"/>
      <c r="B1302" s="7"/>
      <c r="C1302" s="8"/>
      <c r="D1302" s="8"/>
      <c r="E1302" s="32"/>
      <c r="F1302" s="10"/>
      <c r="G1302" s="11"/>
      <c r="H1302" s="11"/>
      <c r="I1302" s="12"/>
      <c r="J1302" s="12"/>
      <c r="K1302" s="13"/>
      <c r="L1302" s="14"/>
    </row>
    <row r="1303" hidden="1">
      <c r="A1303" s="15"/>
      <c r="B1303" s="16"/>
      <c r="C1303" s="17"/>
      <c r="D1303" s="17"/>
      <c r="E1303" s="32"/>
      <c r="F1303" s="19"/>
      <c r="G1303" s="20"/>
      <c r="H1303" s="20"/>
      <c r="I1303" s="21"/>
      <c r="J1303" s="21"/>
      <c r="K1303" s="22"/>
      <c r="L1303" s="23"/>
    </row>
    <row r="1304" hidden="1">
      <c r="A1304" s="6"/>
      <c r="B1304" s="7"/>
      <c r="C1304" s="8"/>
      <c r="D1304" s="8"/>
      <c r="E1304" s="32"/>
      <c r="F1304" s="10"/>
      <c r="G1304" s="11"/>
      <c r="H1304" s="11"/>
      <c r="I1304" s="12"/>
      <c r="J1304" s="12"/>
      <c r="K1304" s="13"/>
      <c r="L1304" s="14"/>
    </row>
    <row r="1305" hidden="1">
      <c r="A1305" s="15"/>
      <c r="B1305" s="16"/>
      <c r="C1305" s="17"/>
      <c r="D1305" s="17"/>
      <c r="E1305" s="32"/>
      <c r="F1305" s="19"/>
      <c r="G1305" s="20"/>
      <c r="H1305" s="20"/>
      <c r="I1305" s="21"/>
      <c r="J1305" s="21"/>
      <c r="K1305" s="22"/>
      <c r="L1305" s="23"/>
    </row>
    <row r="1306" hidden="1">
      <c r="A1306" s="6"/>
      <c r="B1306" s="7"/>
      <c r="C1306" s="8"/>
      <c r="D1306" s="8"/>
      <c r="E1306" s="32"/>
      <c r="F1306" s="10"/>
      <c r="G1306" s="11"/>
      <c r="H1306" s="11"/>
      <c r="I1306" s="12"/>
      <c r="J1306" s="12"/>
      <c r="K1306" s="13"/>
      <c r="L1306" s="14"/>
    </row>
    <row r="1307" hidden="1">
      <c r="A1307" s="15"/>
      <c r="B1307" s="16"/>
      <c r="C1307" s="17"/>
      <c r="D1307" s="17"/>
      <c r="E1307" s="32"/>
      <c r="F1307" s="19"/>
      <c r="G1307" s="20"/>
      <c r="H1307" s="20"/>
      <c r="I1307" s="21"/>
      <c r="J1307" s="21"/>
      <c r="K1307" s="22"/>
      <c r="L1307" s="23"/>
    </row>
    <row r="1308" hidden="1">
      <c r="A1308" s="6"/>
      <c r="B1308" s="7"/>
      <c r="C1308" s="8"/>
      <c r="D1308" s="8"/>
      <c r="E1308" s="32"/>
      <c r="F1308" s="10"/>
      <c r="G1308" s="11"/>
      <c r="H1308" s="11"/>
      <c r="I1308" s="12"/>
      <c r="J1308" s="12"/>
      <c r="K1308" s="13"/>
      <c r="L1308" s="14"/>
    </row>
    <row r="1309" hidden="1">
      <c r="A1309" s="15"/>
      <c r="B1309" s="16"/>
      <c r="C1309" s="17"/>
      <c r="D1309" s="17"/>
      <c r="E1309" s="32"/>
      <c r="F1309" s="19"/>
      <c r="G1309" s="20"/>
      <c r="H1309" s="20"/>
      <c r="I1309" s="21"/>
      <c r="J1309" s="21"/>
      <c r="K1309" s="22"/>
      <c r="L1309" s="23"/>
    </row>
    <row r="1310" hidden="1">
      <c r="A1310" s="6"/>
      <c r="B1310" s="7"/>
      <c r="C1310" s="8"/>
      <c r="D1310" s="8"/>
      <c r="E1310" s="32"/>
      <c r="F1310" s="10"/>
      <c r="G1310" s="11"/>
      <c r="H1310" s="11"/>
      <c r="I1310" s="12"/>
      <c r="J1310" s="12"/>
      <c r="K1310" s="13"/>
      <c r="L1310" s="14"/>
    </row>
    <row r="1311" hidden="1">
      <c r="A1311" s="15"/>
      <c r="B1311" s="16"/>
      <c r="C1311" s="17"/>
      <c r="D1311" s="17"/>
      <c r="E1311" s="32"/>
      <c r="F1311" s="19"/>
      <c r="G1311" s="20"/>
      <c r="H1311" s="20"/>
      <c r="I1311" s="21"/>
      <c r="J1311" s="21"/>
      <c r="K1311" s="22"/>
      <c r="L1311" s="23"/>
    </row>
    <row r="1312" hidden="1">
      <c r="A1312" s="6"/>
      <c r="B1312" s="7"/>
      <c r="C1312" s="8"/>
      <c r="D1312" s="8"/>
      <c r="E1312" s="32"/>
      <c r="F1312" s="10"/>
      <c r="G1312" s="11"/>
      <c r="H1312" s="11"/>
      <c r="I1312" s="12"/>
      <c r="J1312" s="12"/>
      <c r="K1312" s="13"/>
      <c r="L1312" s="14"/>
    </row>
    <row r="1313" hidden="1">
      <c r="A1313" s="15"/>
      <c r="B1313" s="16"/>
      <c r="C1313" s="17"/>
      <c r="D1313" s="17"/>
      <c r="E1313" s="32"/>
      <c r="F1313" s="19"/>
      <c r="G1313" s="20"/>
      <c r="H1313" s="20"/>
      <c r="I1313" s="21"/>
      <c r="J1313" s="21"/>
      <c r="K1313" s="22"/>
      <c r="L1313" s="23"/>
    </row>
    <row r="1314" hidden="1">
      <c r="A1314" s="6"/>
      <c r="B1314" s="7"/>
      <c r="C1314" s="8"/>
      <c r="D1314" s="8"/>
      <c r="E1314" s="32"/>
      <c r="F1314" s="10"/>
      <c r="G1314" s="11"/>
      <c r="H1314" s="11"/>
      <c r="I1314" s="12"/>
      <c r="J1314" s="12"/>
      <c r="K1314" s="13"/>
      <c r="L1314" s="14"/>
    </row>
    <row r="1315" hidden="1">
      <c r="A1315" s="15"/>
      <c r="B1315" s="16"/>
      <c r="C1315" s="17"/>
      <c r="D1315" s="17"/>
      <c r="E1315" s="32"/>
      <c r="F1315" s="19"/>
      <c r="G1315" s="20"/>
      <c r="H1315" s="20"/>
      <c r="I1315" s="21"/>
      <c r="J1315" s="21"/>
      <c r="K1315" s="22"/>
      <c r="L1315" s="23"/>
    </row>
    <row r="1316" hidden="1">
      <c r="A1316" s="6"/>
      <c r="B1316" s="7"/>
      <c r="C1316" s="8"/>
      <c r="D1316" s="8"/>
      <c r="E1316" s="32"/>
      <c r="F1316" s="10"/>
      <c r="G1316" s="11"/>
      <c r="H1316" s="11"/>
      <c r="I1316" s="12"/>
      <c r="J1316" s="12"/>
      <c r="K1316" s="13"/>
      <c r="L1316" s="14"/>
    </row>
    <row r="1317" hidden="1">
      <c r="A1317" s="15"/>
      <c r="B1317" s="16"/>
      <c r="C1317" s="17"/>
      <c r="D1317" s="17"/>
      <c r="E1317" s="32"/>
      <c r="F1317" s="19"/>
      <c r="G1317" s="20"/>
      <c r="H1317" s="20"/>
      <c r="I1317" s="21"/>
      <c r="J1317" s="21"/>
      <c r="K1317" s="22"/>
      <c r="L1317" s="23"/>
    </row>
    <row r="1318" hidden="1">
      <c r="A1318" s="6"/>
      <c r="B1318" s="7"/>
      <c r="C1318" s="8"/>
      <c r="D1318" s="8"/>
      <c r="E1318" s="32"/>
      <c r="F1318" s="10"/>
      <c r="G1318" s="11"/>
      <c r="H1318" s="11"/>
      <c r="I1318" s="12"/>
      <c r="J1318" s="12"/>
      <c r="K1318" s="13"/>
      <c r="L1318" s="14"/>
    </row>
    <row r="1319" hidden="1">
      <c r="A1319" s="15"/>
      <c r="B1319" s="16"/>
      <c r="C1319" s="17"/>
      <c r="D1319" s="17"/>
      <c r="E1319" s="32"/>
      <c r="F1319" s="19"/>
      <c r="G1319" s="20"/>
      <c r="H1319" s="20"/>
      <c r="I1319" s="21"/>
      <c r="J1319" s="21"/>
      <c r="K1319" s="22"/>
      <c r="L1319" s="23"/>
    </row>
    <row r="1320" hidden="1">
      <c r="A1320" s="6"/>
      <c r="B1320" s="7"/>
      <c r="C1320" s="8"/>
      <c r="D1320" s="8"/>
      <c r="E1320" s="32"/>
      <c r="F1320" s="10"/>
      <c r="G1320" s="11"/>
      <c r="H1320" s="11"/>
      <c r="I1320" s="12"/>
      <c r="J1320" s="12"/>
      <c r="K1320" s="13"/>
      <c r="L1320" s="14"/>
    </row>
    <row r="1321" hidden="1">
      <c r="A1321" s="15"/>
      <c r="B1321" s="16"/>
      <c r="C1321" s="17"/>
      <c r="D1321" s="17"/>
      <c r="E1321" s="32"/>
      <c r="F1321" s="19"/>
      <c r="G1321" s="20"/>
      <c r="H1321" s="20"/>
      <c r="I1321" s="21"/>
      <c r="J1321" s="21"/>
      <c r="K1321" s="22"/>
      <c r="L1321" s="23"/>
    </row>
    <row r="1322" hidden="1">
      <c r="A1322" s="6"/>
      <c r="B1322" s="7"/>
      <c r="C1322" s="8"/>
      <c r="D1322" s="8"/>
      <c r="E1322" s="32"/>
      <c r="F1322" s="10"/>
      <c r="G1322" s="11"/>
      <c r="H1322" s="11"/>
      <c r="I1322" s="12"/>
      <c r="J1322" s="12"/>
      <c r="K1322" s="13"/>
      <c r="L1322" s="14"/>
    </row>
    <row r="1323" hidden="1">
      <c r="A1323" s="15"/>
      <c r="B1323" s="16"/>
      <c r="C1323" s="17"/>
      <c r="D1323" s="17"/>
      <c r="E1323" s="32"/>
      <c r="F1323" s="19"/>
      <c r="G1323" s="20"/>
      <c r="H1323" s="20"/>
      <c r="I1323" s="21"/>
      <c r="J1323" s="21"/>
      <c r="K1323" s="22"/>
      <c r="L1323" s="23"/>
    </row>
    <row r="1324" hidden="1">
      <c r="A1324" s="6"/>
      <c r="B1324" s="7"/>
      <c r="C1324" s="8"/>
      <c r="D1324" s="8"/>
      <c r="E1324" s="32"/>
      <c r="F1324" s="10"/>
      <c r="G1324" s="11"/>
      <c r="H1324" s="11"/>
      <c r="I1324" s="12"/>
      <c r="J1324" s="12"/>
      <c r="K1324" s="13"/>
      <c r="L1324" s="14"/>
    </row>
    <row r="1325" hidden="1">
      <c r="A1325" s="15"/>
      <c r="B1325" s="16"/>
      <c r="C1325" s="17"/>
      <c r="D1325" s="17"/>
      <c r="E1325" s="32"/>
      <c r="F1325" s="19"/>
      <c r="G1325" s="20"/>
      <c r="H1325" s="20"/>
      <c r="I1325" s="21"/>
      <c r="J1325" s="21"/>
      <c r="K1325" s="22"/>
      <c r="L1325" s="23"/>
    </row>
    <row r="1326" hidden="1">
      <c r="A1326" s="6"/>
      <c r="B1326" s="7"/>
      <c r="C1326" s="8"/>
      <c r="D1326" s="8"/>
      <c r="E1326" s="32"/>
      <c r="F1326" s="10"/>
      <c r="G1326" s="11"/>
      <c r="H1326" s="11"/>
      <c r="I1326" s="12"/>
      <c r="J1326" s="12"/>
      <c r="K1326" s="13"/>
      <c r="L1326" s="14"/>
    </row>
    <row r="1327" hidden="1">
      <c r="A1327" s="15"/>
      <c r="B1327" s="16"/>
      <c r="C1327" s="17"/>
      <c r="D1327" s="17"/>
      <c r="E1327" s="32"/>
      <c r="F1327" s="19"/>
      <c r="G1327" s="20"/>
      <c r="H1327" s="20"/>
      <c r="I1327" s="21"/>
      <c r="J1327" s="21"/>
      <c r="K1327" s="22"/>
      <c r="L1327" s="23"/>
    </row>
    <row r="1328" hidden="1">
      <c r="A1328" s="6"/>
      <c r="B1328" s="7"/>
      <c r="C1328" s="8"/>
      <c r="D1328" s="8"/>
      <c r="E1328" s="32"/>
      <c r="F1328" s="10"/>
      <c r="G1328" s="11"/>
      <c r="H1328" s="11"/>
      <c r="I1328" s="12"/>
      <c r="J1328" s="12"/>
      <c r="K1328" s="13"/>
      <c r="L1328" s="14"/>
    </row>
    <row r="1329" hidden="1">
      <c r="A1329" s="15"/>
      <c r="B1329" s="16"/>
      <c r="C1329" s="17"/>
      <c r="D1329" s="17"/>
      <c r="E1329" s="32"/>
      <c r="F1329" s="19"/>
      <c r="G1329" s="20"/>
      <c r="H1329" s="20"/>
      <c r="I1329" s="21"/>
      <c r="J1329" s="21"/>
      <c r="K1329" s="22"/>
      <c r="L1329" s="23"/>
    </row>
    <row r="1330" hidden="1">
      <c r="A1330" s="6"/>
      <c r="B1330" s="7"/>
      <c r="C1330" s="8"/>
      <c r="D1330" s="8"/>
      <c r="E1330" s="32"/>
      <c r="F1330" s="10"/>
      <c r="G1330" s="11"/>
      <c r="H1330" s="11"/>
      <c r="I1330" s="12"/>
      <c r="J1330" s="12"/>
      <c r="K1330" s="13"/>
      <c r="L1330" s="14"/>
    </row>
    <row r="1331" hidden="1">
      <c r="A1331" s="15"/>
      <c r="B1331" s="16"/>
      <c r="C1331" s="17"/>
      <c r="D1331" s="17"/>
      <c r="E1331" s="32"/>
      <c r="F1331" s="19"/>
      <c r="G1331" s="20"/>
      <c r="H1331" s="20"/>
      <c r="I1331" s="21"/>
      <c r="J1331" s="21"/>
      <c r="K1331" s="22"/>
      <c r="L1331" s="23"/>
    </row>
    <row r="1332" hidden="1">
      <c r="A1332" s="6"/>
      <c r="B1332" s="7"/>
      <c r="C1332" s="8"/>
      <c r="D1332" s="8"/>
      <c r="E1332" s="32"/>
      <c r="F1332" s="10"/>
      <c r="G1332" s="11"/>
      <c r="H1332" s="11"/>
      <c r="I1332" s="12"/>
      <c r="J1332" s="12"/>
      <c r="K1332" s="13"/>
      <c r="L1332" s="14"/>
    </row>
    <row r="1333" hidden="1">
      <c r="A1333" s="15"/>
      <c r="B1333" s="16"/>
      <c r="C1333" s="17"/>
      <c r="D1333" s="17"/>
      <c r="E1333" s="32"/>
      <c r="F1333" s="19"/>
      <c r="G1333" s="20"/>
      <c r="H1333" s="20"/>
      <c r="I1333" s="21"/>
      <c r="J1333" s="21"/>
      <c r="K1333" s="22"/>
      <c r="L1333" s="23"/>
    </row>
    <row r="1334" hidden="1">
      <c r="A1334" s="6"/>
      <c r="B1334" s="7"/>
      <c r="C1334" s="8"/>
      <c r="D1334" s="8"/>
      <c r="E1334" s="32"/>
      <c r="F1334" s="10"/>
      <c r="G1334" s="11"/>
      <c r="H1334" s="11"/>
      <c r="I1334" s="12"/>
      <c r="J1334" s="12"/>
      <c r="K1334" s="13"/>
      <c r="L1334" s="14"/>
    </row>
    <row r="1335" hidden="1">
      <c r="A1335" s="15"/>
      <c r="B1335" s="16"/>
      <c r="C1335" s="17"/>
      <c r="D1335" s="17"/>
      <c r="E1335" s="32"/>
      <c r="F1335" s="19"/>
      <c r="G1335" s="20"/>
      <c r="H1335" s="20"/>
      <c r="I1335" s="21"/>
      <c r="J1335" s="21"/>
      <c r="K1335" s="22"/>
      <c r="L1335" s="23"/>
    </row>
    <row r="1336" hidden="1">
      <c r="A1336" s="6"/>
      <c r="B1336" s="7"/>
      <c r="C1336" s="8"/>
      <c r="D1336" s="8"/>
      <c r="E1336" s="32"/>
      <c r="F1336" s="10"/>
      <c r="G1336" s="11"/>
      <c r="H1336" s="11"/>
      <c r="I1336" s="12"/>
      <c r="J1336" s="12"/>
      <c r="K1336" s="13"/>
      <c r="L1336" s="14"/>
    </row>
    <row r="1337" hidden="1">
      <c r="A1337" s="15"/>
      <c r="B1337" s="16"/>
      <c r="C1337" s="17"/>
      <c r="D1337" s="17"/>
      <c r="E1337" s="32"/>
      <c r="F1337" s="19"/>
      <c r="G1337" s="20"/>
      <c r="H1337" s="20"/>
      <c r="I1337" s="21"/>
      <c r="J1337" s="21"/>
      <c r="K1337" s="22"/>
      <c r="L1337" s="23"/>
    </row>
    <row r="1338" hidden="1">
      <c r="A1338" s="6"/>
      <c r="B1338" s="7"/>
      <c r="C1338" s="8"/>
      <c r="D1338" s="8"/>
      <c r="E1338" s="32"/>
      <c r="F1338" s="10"/>
      <c r="G1338" s="11"/>
      <c r="H1338" s="11"/>
      <c r="I1338" s="12"/>
      <c r="J1338" s="12"/>
      <c r="K1338" s="13"/>
      <c r="L1338" s="14"/>
    </row>
    <row r="1339" hidden="1">
      <c r="A1339" s="15"/>
      <c r="B1339" s="16"/>
      <c r="C1339" s="17"/>
      <c r="D1339" s="17"/>
      <c r="E1339" s="32"/>
      <c r="F1339" s="19"/>
      <c r="G1339" s="20"/>
      <c r="H1339" s="20"/>
      <c r="I1339" s="21"/>
      <c r="J1339" s="21"/>
      <c r="K1339" s="22"/>
      <c r="L1339" s="23"/>
    </row>
    <row r="1340" hidden="1">
      <c r="A1340" s="6"/>
      <c r="B1340" s="7"/>
      <c r="C1340" s="8"/>
      <c r="D1340" s="8"/>
      <c r="E1340" s="32"/>
      <c r="F1340" s="10"/>
      <c r="G1340" s="11"/>
      <c r="H1340" s="11"/>
      <c r="I1340" s="12"/>
      <c r="J1340" s="12"/>
      <c r="K1340" s="13"/>
      <c r="L1340" s="14"/>
    </row>
    <row r="1341" hidden="1">
      <c r="A1341" s="15"/>
      <c r="B1341" s="16"/>
      <c r="C1341" s="17"/>
      <c r="D1341" s="17"/>
      <c r="E1341" s="32"/>
      <c r="F1341" s="19"/>
      <c r="G1341" s="20"/>
      <c r="H1341" s="20"/>
      <c r="I1341" s="21"/>
      <c r="J1341" s="21"/>
      <c r="K1341" s="22"/>
      <c r="L1341" s="23"/>
    </row>
    <row r="1342" hidden="1">
      <c r="A1342" s="6"/>
      <c r="B1342" s="7"/>
      <c r="C1342" s="8"/>
      <c r="D1342" s="8"/>
      <c r="E1342" s="32"/>
      <c r="F1342" s="10"/>
      <c r="G1342" s="11"/>
      <c r="H1342" s="11"/>
      <c r="I1342" s="12"/>
      <c r="J1342" s="12"/>
      <c r="K1342" s="13"/>
      <c r="L1342" s="14"/>
    </row>
    <row r="1343" hidden="1">
      <c r="A1343" s="15"/>
      <c r="B1343" s="16"/>
      <c r="C1343" s="17"/>
      <c r="D1343" s="17"/>
      <c r="E1343" s="32"/>
      <c r="F1343" s="19"/>
      <c r="G1343" s="20"/>
      <c r="H1343" s="20"/>
      <c r="I1343" s="21"/>
      <c r="J1343" s="21"/>
      <c r="K1343" s="22"/>
      <c r="L1343" s="23"/>
    </row>
    <row r="1344" hidden="1">
      <c r="A1344" s="6"/>
      <c r="B1344" s="7"/>
      <c r="C1344" s="8"/>
      <c r="D1344" s="8"/>
      <c r="E1344" s="32"/>
      <c r="F1344" s="10"/>
      <c r="G1344" s="11"/>
      <c r="H1344" s="11"/>
      <c r="I1344" s="12"/>
      <c r="J1344" s="12"/>
      <c r="K1344" s="13"/>
      <c r="L1344" s="14"/>
    </row>
    <row r="1345" hidden="1">
      <c r="A1345" s="15"/>
      <c r="B1345" s="16"/>
      <c r="C1345" s="17"/>
      <c r="D1345" s="17"/>
      <c r="E1345" s="32"/>
      <c r="F1345" s="19"/>
      <c r="G1345" s="20"/>
      <c r="H1345" s="20"/>
      <c r="I1345" s="21"/>
      <c r="J1345" s="21"/>
      <c r="K1345" s="22"/>
      <c r="L1345" s="23"/>
    </row>
    <row r="1346" hidden="1">
      <c r="A1346" s="6"/>
      <c r="B1346" s="7"/>
      <c r="C1346" s="8"/>
      <c r="D1346" s="8"/>
      <c r="E1346" s="32"/>
      <c r="F1346" s="10"/>
      <c r="G1346" s="11"/>
      <c r="H1346" s="11"/>
      <c r="I1346" s="12"/>
      <c r="J1346" s="12"/>
      <c r="K1346" s="13"/>
      <c r="L1346" s="14"/>
    </row>
    <row r="1347" hidden="1">
      <c r="A1347" s="15"/>
      <c r="B1347" s="16"/>
      <c r="C1347" s="17"/>
      <c r="D1347" s="17"/>
      <c r="E1347" s="32"/>
      <c r="F1347" s="19"/>
      <c r="G1347" s="20"/>
      <c r="H1347" s="20"/>
      <c r="I1347" s="21"/>
      <c r="J1347" s="21"/>
      <c r="K1347" s="22"/>
      <c r="L1347" s="23"/>
    </row>
    <row r="1348" hidden="1">
      <c r="A1348" s="6"/>
      <c r="B1348" s="7"/>
      <c r="C1348" s="8"/>
      <c r="D1348" s="8"/>
      <c r="E1348" s="32"/>
      <c r="F1348" s="10"/>
      <c r="G1348" s="11"/>
      <c r="H1348" s="11"/>
      <c r="I1348" s="12"/>
      <c r="J1348" s="12"/>
      <c r="K1348" s="13"/>
      <c r="L1348" s="14"/>
    </row>
    <row r="1349" hidden="1">
      <c r="A1349" s="15"/>
      <c r="B1349" s="16"/>
      <c r="C1349" s="17"/>
      <c r="D1349" s="17"/>
      <c r="E1349" s="32"/>
      <c r="F1349" s="19"/>
      <c r="G1349" s="20"/>
      <c r="H1349" s="20"/>
      <c r="I1349" s="21"/>
      <c r="J1349" s="21"/>
      <c r="K1349" s="22"/>
      <c r="L1349" s="23"/>
    </row>
    <row r="1350" hidden="1">
      <c r="A1350" s="6"/>
      <c r="B1350" s="7"/>
      <c r="C1350" s="8"/>
      <c r="D1350" s="8"/>
      <c r="E1350" s="32"/>
      <c r="F1350" s="10"/>
      <c r="G1350" s="11"/>
      <c r="H1350" s="11"/>
      <c r="I1350" s="12"/>
      <c r="J1350" s="12"/>
      <c r="K1350" s="13"/>
      <c r="L1350" s="14"/>
    </row>
    <row r="1351" hidden="1">
      <c r="A1351" s="15"/>
      <c r="B1351" s="16"/>
      <c r="C1351" s="17"/>
      <c r="D1351" s="17"/>
      <c r="E1351" s="32"/>
      <c r="F1351" s="19"/>
      <c r="G1351" s="20"/>
      <c r="H1351" s="20"/>
      <c r="I1351" s="21"/>
      <c r="J1351" s="21"/>
      <c r="K1351" s="22"/>
      <c r="L1351" s="23"/>
    </row>
    <row r="1352" hidden="1">
      <c r="A1352" s="6"/>
      <c r="B1352" s="7"/>
      <c r="C1352" s="8"/>
      <c r="D1352" s="8"/>
      <c r="E1352" s="32"/>
      <c r="F1352" s="10"/>
      <c r="G1352" s="11"/>
      <c r="H1352" s="11"/>
      <c r="I1352" s="12"/>
      <c r="J1352" s="12"/>
      <c r="K1352" s="13"/>
      <c r="L1352" s="14"/>
    </row>
    <row r="1353" hidden="1">
      <c r="A1353" s="15"/>
      <c r="B1353" s="16"/>
      <c r="C1353" s="17"/>
      <c r="D1353" s="17"/>
      <c r="E1353" s="32"/>
      <c r="F1353" s="19"/>
      <c r="G1353" s="20"/>
      <c r="H1353" s="20"/>
      <c r="I1353" s="21"/>
      <c r="J1353" s="21"/>
      <c r="K1353" s="22"/>
      <c r="L1353" s="23"/>
    </row>
    <row r="1354" hidden="1">
      <c r="A1354" s="6"/>
      <c r="B1354" s="7"/>
      <c r="C1354" s="8"/>
      <c r="D1354" s="8"/>
      <c r="E1354" s="32"/>
      <c r="F1354" s="10"/>
      <c r="G1354" s="11"/>
      <c r="H1354" s="11"/>
      <c r="I1354" s="12"/>
      <c r="J1354" s="12"/>
      <c r="K1354" s="13"/>
      <c r="L1354" s="14"/>
    </row>
    <row r="1355" hidden="1">
      <c r="A1355" s="15"/>
      <c r="B1355" s="16"/>
      <c r="C1355" s="17"/>
      <c r="D1355" s="17"/>
      <c r="E1355" s="32"/>
      <c r="F1355" s="19"/>
      <c r="G1355" s="20"/>
      <c r="H1355" s="20"/>
      <c r="I1355" s="21"/>
      <c r="J1355" s="21"/>
      <c r="K1355" s="22"/>
      <c r="L1355" s="23"/>
    </row>
    <row r="1356" hidden="1">
      <c r="A1356" s="6"/>
      <c r="B1356" s="7"/>
      <c r="C1356" s="8"/>
      <c r="D1356" s="8"/>
      <c r="E1356" s="32"/>
      <c r="F1356" s="10"/>
      <c r="G1356" s="11"/>
      <c r="H1356" s="11"/>
      <c r="I1356" s="12"/>
      <c r="J1356" s="12"/>
      <c r="K1356" s="13"/>
      <c r="L1356" s="14"/>
    </row>
    <row r="1357" hidden="1">
      <c r="A1357" s="15"/>
      <c r="B1357" s="16"/>
      <c r="C1357" s="17"/>
      <c r="D1357" s="17"/>
      <c r="E1357" s="32"/>
      <c r="F1357" s="19"/>
      <c r="G1357" s="20"/>
      <c r="H1357" s="20"/>
      <c r="I1357" s="21"/>
      <c r="J1357" s="21"/>
      <c r="K1357" s="22"/>
      <c r="L1357" s="23"/>
    </row>
    <row r="1358" hidden="1">
      <c r="A1358" s="6"/>
      <c r="B1358" s="7"/>
      <c r="C1358" s="8"/>
      <c r="D1358" s="8"/>
      <c r="E1358" s="32"/>
      <c r="F1358" s="10"/>
      <c r="G1358" s="11"/>
      <c r="H1358" s="11"/>
      <c r="I1358" s="12"/>
      <c r="J1358" s="12"/>
      <c r="K1358" s="13"/>
      <c r="L1358" s="14"/>
    </row>
    <row r="1359" hidden="1">
      <c r="A1359" s="15"/>
      <c r="B1359" s="16"/>
      <c r="C1359" s="17"/>
      <c r="D1359" s="17"/>
      <c r="E1359" s="32"/>
      <c r="F1359" s="19"/>
      <c r="G1359" s="20"/>
      <c r="H1359" s="20"/>
      <c r="I1359" s="21"/>
      <c r="J1359" s="21"/>
      <c r="K1359" s="22"/>
      <c r="L1359" s="23"/>
    </row>
    <row r="1360" hidden="1">
      <c r="A1360" s="6"/>
      <c r="B1360" s="7"/>
      <c r="C1360" s="8"/>
      <c r="D1360" s="8"/>
      <c r="E1360" s="32"/>
      <c r="F1360" s="10"/>
      <c r="G1360" s="11"/>
      <c r="H1360" s="11"/>
      <c r="I1360" s="12"/>
      <c r="J1360" s="12"/>
      <c r="K1360" s="13"/>
      <c r="L1360" s="14"/>
    </row>
    <row r="1361" hidden="1">
      <c r="A1361" s="15"/>
      <c r="B1361" s="16"/>
      <c r="C1361" s="17"/>
      <c r="D1361" s="17"/>
      <c r="E1361" s="32"/>
      <c r="F1361" s="19"/>
      <c r="G1361" s="20"/>
      <c r="H1361" s="20"/>
      <c r="I1361" s="21"/>
      <c r="J1361" s="21"/>
      <c r="K1361" s="22"/>
      <c r="L1361" s="23"/>
    </row>
    <row r="1362" hidden="1">
      <c r="A1362" s="6"/>
      <c r="B1362" s="7"/>
      <c r="C1362" s="8"/>
      <c r="D1362" s="8"/>
      <c r="E1362" s="32"/>
      <c r="F1362" s="10"/>
      <c r="G1362" s="11"/>
      <c r="H1362" s="11"/>
      <c r="I1362" s="12"/>
      <c r="J1362" s="12"/>
      <c r="K1362" s="13"/>
      <c r="L1362" s="14"/>
    </row>
    <row r="1363" hidden="1">
      <c r="A1363" s="15"/>
      <c r="B1363" s="16"/>
      <c r="C1363" s="17"/>
      <c r="D1363" s="17"/>
      <c r="E1363" s="32"/>
      <c r="F1363" s="19"/>
      <c r="G1363" s="20"/>
      <c r="H1363" s="20"/>
      <c r="I1363" s="21"/>
      <c r="J1363" s="21"/>
      <c r="K1363" s="22"/>
      <c r="L1363" s="23"/>
    </row>
    <row r="1364" hidden="1">
      <c r="A1364" s="6"/>
      <c r="B1364" s="7"/>
      <c r="C1364" s="8"/>
      <c r="D1364" s="8"/>
      <c r="E1364" s="32"/>
      <c r="F1364" s="10"/>
      <c r="G1364" s="11"/>
      <c r="H1364" s="11"/>
      <c r="I1364" s="12"/>
      <c r="J1364" s="12"/>
      <c r="K1364" s="13"/>
      <c r="L1364" s="14"/>
    </row>
    <row r="1365" hidden="1">
      <c r="A1365" s="15"/>
      <c r="B1365" s="16"/>
      <c r="C1365" s="17"/>
      <c r="D1365" s="17"/>
      <c r="E1365" s="32"/>
      <c r="F1365" s="19"/>
      <c r="G1365" s="20"/>
      <c r="H1365" s="20"/>
      <c r="I1365" s="21"/>
      <c r="J1365" s="21"/>
      <c r="K1365" s="22"/>
      <c r="L1365" s="23"/>
    </row>
    <row r="1366" hidden="1">
      <c r="A1366" s="6"/>
      <c r="B1366" s="7"/>
      <c r="C1366" s="8"/>
      <c r="D1366" s="8"/>
      <c r="E1366" s="32"/>
      <c r="F1366" s="10"/>
      <c r="G1366" s="11"/>
      <c r="H1366" s="11"/>
      <c r="I1366" s="12"/>
      <c r="J1366" s="12"/>
      <c r="K1366" s="13"/>
      <c r="L1366" s="14"/>
    </row>
    <row r="1367" hidden="1">
      <c r="A1367" s="15"/>
      <c r="B1367" s="16"/>
      <c r="C1367" s="17"/>
      <c r="D1367" s="17"/>
      <c r="E1367" s="32"/>
      <c r="F1367" s="19"/>
      <c r="G1367" s="20"/>
      <c r="H1367" s="20"/>
      <c r="I1367" s="21"/>
      <c r="J1367" s="21"/>
      <c r="K1367" s="22"/>
      <c r="L1367" s="23"/>
    </row>
    <row r="1368" hidden="1">
      <c r="A1368" s="6"/>
      <c r="B1368" s="7"/>
      <c r="C1368" s="8"/>
      <c r="D1368" s="8"/>
      <c r="E1368" s="32"/>
      <c r="F1368" s="10"/>
      <c r="G1368" s="11"/>
      <c r="H1368" s="11"/>
      <c r="I1368" s="12"/>
      <c r="J1368" s="12"/>
      <c r="K1368" s="13"/>
      <c r="L1368" s="14"/>
    </row>
    <row r="1369" hidden="1">
      <c r="A1369" s="15"/>
      <c r="B1369" s="16"/>
      <c r="C1369" s="17"/>
      <c r="D1369" s="17"/>
      <c r="E1369" s="32"/>
      <c r="F1369" s="19"/>
      <c r="G1369" s="20"/>
      <c r="H1369" s="20"/>
      <c r="I1369" s="21"/>
      <c r="J1369" s="21"/>
      <c r="K1369" s="22"/>
      <c r="L1369" s="23"/>
    </row>
    <row r="1370" hidden="1">
      <c r="A1370" s="6"/>
      <c r="B1370" s="7"/>
      <c r="C1370" s="8"/>
      <c r="D1370" s="8"/>
      <c r="E1370" s="32"/>
      <c r="F1370" s="10"/>
      <c r="G1370" s="11"/>
      <c r="H1370" s="11"/>
      <c r="I1370" s="12"/>
      <c r="J1370" s="12"/>
      <c r="K1370" s="13"/>
      <c r="L1370" s="14"/>
    </row>
    <row r="1371" hidden="1">
      <c r="A1371" s="15"/>
      <c r="B1371" s="16"/>
      <c r="C1371" s="17"/>
      <c r="D1371" s="17"/>
      <c r="E1371" s="32"/>
      <c r="F1371" s="19"/>
      <c r="G1371" s="20"/>
      <c r="H1371" s="20"/>
      <c r="I1371" s="21"/>
      <c r="J1371" s="21"/>
      <c r="K1371" s="22"/>
      <c r="L1371" s="23"/>
    </row>
    <row r="1372" hidden="1">
      <c r="A1372" s="6"/>
      <c r="B1372" s="7"/>
      <c r="C1372" s="8"/>
      <c r="D1372" s="8"/>
      <c r="E1372" s="32"/>
      <c r="F1372" s="10"/>
      <c r="G1372" s="11"/>
      <c r="H1372" s="11"/>
      <c r="I1372" s="12"/>
      <c r="J1372" s="12"/>
      <c r="K1372" s="13"/>
      <c r="L1372" s="14"/>
    </row>
    <row r="1373" hidden="1">
      <c r="A1373" s="15"/>
      <c r="B1373" s="16"/>
      <c r="C1373" s="17"/>
      <c r="D1373" s="17"/>
      <c r="E1373" s="32"/>
      <c r="F1373" s="19"/>
      <c r="G1373" s="20"/>
      <c r="H1373" s="20"/>
      <c r="I1373" s="21"/>
      <c r="J1373" s="21"/>
      <c r="K1373" s="22"/>
      <c r="L1373" s="23"/>
    </row>
    <row r="1374" hidden="1">
      <c r="A1374" s="6"/>
      <c r="B1374" s="7"/>
      <c r="C1374" s="8"/>
      <c r="D1374" s="8"/>
      <c r="E1374" s="32"/>
      <c r="F1374" s="10"/>
      <c r="G1374" s="11"/>
      <c r="H1374" s="11"/>
      <c r="I1374" s="12"/>
      <c r="J1374" s="12"/>
      <c r="K1374" s="13"/>
      <c r="L1374" s="14"/>
    </row>
    <row r="1375" hidden="1">
      <c r="A1375" s="15"/>
      <c r="B1375" s="16"/>
      <c r="C1375" s="17"/>
      <c r="D1375" s="17"/>
      <c r="E1375" s="32"/>
      <c r="F1375" s="19"/>
      <c r="G1375" s="20"/>
      <c r="H1375" s="20"/>
      <c r="I1375" s="21"/>
      <c r="J1375" s="21"/>
      <c r="K1375" s="22"/>
      <c r="L1375" s="23"/>
    </row>
    <row r="1376" hidden="1">
      <c r="A1376" s="6"/>
      <c r="B1376" s="7"/>
      <c r="C1376" s="8"/>
      <c r="D1376" s="8"/>
      <c r="E1376" s="32"/>
      <c r="F1376" s="10"/>
      <c r="G1376" s="11"/>
      <c r="H1376" s="11"/>
      <c r="I1376" s="12"/>
      <c r="J1376" s="12"/>
      <c r="K1376" s="13"/>
      <c r="L1376" s="14"/>
    </row>
    <row r="1377" hidden="1">
      <c r="A1377" s="15"/>
      <c r="B1377" s="16"/>
      <c r="C1377" s="17"/>
      <c r="D1377" s="17"/>
      <c r="E1377" s="32"/>
      <c r="F1377" s="19"/>
      <c r="G1377" s="20"/>
      <c r="H1377" s="20"/>
      <c r="I1377" s="21"/>
      <c r="J1377" s="21"/>
      <c r="K1377" s="22"/>
      <c r="L1377" s="23"/>
    </row>
    <row r="1378" hidden="1">
      <c r="A1378" s="6"/>
      <c r="B1378" s="7"/>
      <c r="C1378" s="8"/>
      <c r="D1378" s="8"/>
      <c r="E1378" s="32"/>
      <c r="F1378" s="10"/>
      <c r="G1378" s="11"/>
      <c r="H1378" s="11"/>
      <c r="I1378" s="12"/>
      <c r="J1378" s="12"/>
      <c r="K1378" s="13"/>
      <c r="L1378" s="14"/>
    </row>
    <row r="1379" hidden="1">
      <c r="A1379" s="15"/>
      <c r="B1379" s="16"/>
      <c r="C1379" s="17"/>
      <c r="D1379" s="17"/>
      <c r="E1379" s="32"/>
      <c r="F1379" s="19"/>
      <c r="G1379" s="20"/>
      <c r="H1379" s="20"/>
      <c r="I1379" s="21"/>
      <c r="J1379" s="21"/>
      <c r="K1379" s="22"/>
      <c r="L1379" s="23"/>
    </row>
    <row r="1380" hidden="1">
      <c r="A1380" s="6"/>
      <c r="B1380" s="7"/>
      <c r="C1380" s="8"/>
      <c r="D1380" s="8"/>
      <c r="E1380" s="32"/>
      <c r="F1380" s="10"/>
      <c r="G1380" s="11"/>
      <c r="H1380" s="11"/>
      <c r="I1380" s="12"/>
      <c r="J1380" s="12"/>
      <c r="K1380" s="13"/>
      <c r="L1380" s="14"/>
    </row>
    <row r="1381" hidden="1">
      <c r="A1381" s="15"/>
      <c r="B1381" s="16"/>
      <c r="C1381" s="17"/>
      <c r="D1381" s="17"/>
      <c r="E1381" s="32"/>
      <c r="F1381" s="19"/>
      <c r="G1381" s="20"/>
      <c r="H1381" s="20"/>
      <c r="I1381" s="21"/>
      <c r="J1381" s="21"/>
      <c r="K1381" s="22"/>
      <c r="L1381" s="23"/>
    </row>
    <row r="1382" hidden="1">
      <c r="A1382" s="6"/>
      <c r="B1382" s="7"/>
      <c r="C1382" s="8"/>
      <c r="D1382" s="8"/>
      <c r="E1382" s="32"/>
      <c r="F1382" s="10"/>
      <c r="G1382" s="11"/>
      <c r="H1382" s="11"/>
      <c r="I1382" s="12"/>
      <c r="J1382" s="12"/>
      <c r="K1382" s="13"/>
      <c r="L1382" s="14"/>
    </row>
    <row r="1383" hidden="1">
      <c r="A1383" s="15"/>
      <c r="B1383" s="16"/>
      <c r="C1383" s="17"/>
      <c r="D1383" s="17"/>
      <c r="E1383" s="32"/>
      <c r="F1383" s="19"/>
      <c r="G1383" s="20"/>
      <c r="H1383" s="20"/>
      <c r="I1383" s="21"/>
      <c r="J1383" s="21"/>
      <c r="K1383" s="22"/>
      <c r="L1383" s="23"/>
    </row>
    <row r="1384" hidden="1">
      <c r="A1384" s="6"/>
      <c r="B1384" s="7"/>
      <c r="C1384" s="8"/>
      <c r="D1384" s="8"/>
      <c r="E1384" s="32"/>
      <c r="F1384" s="10"/>
      <c r="G1384" s="11"/>
      <c r="H1384" s="11"/>
      <c r="I1384" s="12"/>
      <c r="J1384" s="12"/>
      <c r="K1384" s="13"/>
      <c r="L1384" s="14"/>
    </row>
    <row r="1385" hidden="1">
      <c r="A1385" s="15"/>
      <c r="B1385" s="16"/>
      <c r="C1385" s="17"/>
      <c r="D1385" s="17"/>
      <c r="E1385" s="32"/>
      <c r="F1385" s="19"/>
      <c r="G1385" s="20"/>
      <c r="H1385" s="20"/>
      <c r="I1385" s="21"/>
      <c r="J1385" s="21"/>
      <c r="K1385" s="22"/>
      <c r="L1385" s="23"/>
    </row>
    <row r="1386" hidden="1">
      <c r="A1386" s="6"/>
      <c r="B1386" s="7"/>
      <c r="C1386" s="8"/>
      <c r="D1386" s="8"/>
      <c r="E1386" s="32"/>
      <c r="F1386" s="10"/>
      <c r="G1386" s="11"/>
      <c r="H1386" s="11"/>
      <c r="I1386" s="12"/>
      <c r="J1386" s="12"/>
      <c r="K1386" s="13"/>
      <c r="L1386" s="14"/>
    </row>
    <row r="1387" hidden="1">
      <c r="A1387" s="15"/>
      <c r="B1387" s="16"/>
      <c r="C1387" s="17"/>
      <c r="D1387" s="17"/>
      <c r="E1387" s="32"/>
      <c r="F1387" s="19"/>
      <c r="G1387" s="20"/>
      <c r="H1387" s="20"/>
      <c r="I1387" s="21"/>
      <c r="J1387" s="21"/>
      <c r="K1387" s="22"/>
      <c r="L1387" s="23"/>
    </row>
    <row r="1388" hidden="1">
      <c r="A1388" s="6"/>
      <c r="B1388" s="7"/>
      <c r="C1388" s="8"/>
      <c r="D1388" s="8"/>
      <c r="E1388" s="32"/>
      <c r="F1388" s="10"/>
      <c r="G1388" s="11"/>
      <c r="H1388" s="11"/>
      <c r="I1388" s="12"/>
      <c r="J1388" s="12"/>
      <c r="K1388" s="13"/>
      <c r="L1388" s="14"/>
    </row>
    <row r="1389" hidden="1">
      <c r="A1389" s="15"/>
      <c r="B1389" s="16"/>
      <c r="C1389" s="17"/>
      <c r="D1389" s="17"/>
      <c r="E1389" s="32"/>
      <c r="F1389" s="19"/>
      <c r="G1389" s="20"/>
      <c r="H1389" s="20"/>
      <c r="I1389" s="21"/>
      <c r="J1389" s="21"/>
      <c r="K1389" s="22"/>
      <c r="L1389" s="23"/>
    </row>
    <row r="1390" hidden="1">
      <c r="A1390" s="6"/>
      <c r="B1390" s="7"/>
      <c r="C1390" s="8"/>
      <c r="D1390" s="8"/>
      <c r="E1390" s="32"/>
      <c r="F1390" s="10"/>
      <c r="G1390" s="11"/>
      <c r="H1390" s="11"/>
      <c r="I1390" s="12"/>
      <c r="J1390" s="12"/>
      <c r="K1390" s="13"/>
      <c r="L1390" s="14"/>
    </row>
    <row r="1391" hidden="1">
      <c r="A1391" s="15"/>
      <c r="B1391" s="16"/>
      <c r="C1391" s="17"/>
      <c r="D1391" s="17"/>
      <c r="E1391" s="32"/>
      <c r="F1391" s="19"/>
      <c r="G1391" s="20"/>
      <c r="H1391" s="20"/>
      <c r="I1391" s="21"/>
      <c r="J1391" s="21"/>
      <c r="K1391" s="22"/>
      <c r="L1391" s="23"/>
    </row>
    <row r="1392" hidden="1">
      <c r="A1392" s="6"/>
      <c r="B1392" s="7"/>
      <c r="C1392" s="8"/>
      <c r="D1392" s="8"/>
      <c r="E1392" s="32"/>
      <c r="F1392" s="10"/>
      <c r="G1392" s="11"/>
      <c r="H1392" s="11"/>
      <c r="I1392" s="12"/>
      <c r="J1392" s="12"/>
      <c r="K1392" s="13"/>
      <c r="L1392" s="14"/>
    </row>
    <row r="1393" hidden="1">
      <c r="A1393" s="15"/>
      <c r="B1393" s="16"/>
      <c r="C1393" s="17"/>
      <c r="D1393" s="17"/>
      <c r="E1393" s="32"/>
      <c r="F1393" s="19"/>
      <c r="G1393" s="20"/>
      <c r="H1393" s="20"/>
      <c r="I1393" s="21"/>
      <c r="J1393" s="21"/>
      <c r="K1393" s="22"/>
      <c r="L1393" s="23"/>
    </row>
    <row r="1394" hidden="1">
      <c r="A1394" s="6"/>
      <c r="B1394" s="7"/>
      <c r="C1394" s="8"/>
      <c r="D1394" s="8"/>
      <c r="E1394" s="32"/>
      <c r="F1394" s="10"/>
      <c r="G1394" s="11"/>
      <c r="H1394" s="11"/>
      <c r="I1394" s="12"/>
      <c r="J1394" s="12"/>
      <c r="K1394" s="13"/>
      <c r="L1394" s="14"/>
    </row>
    <row r="1395" hidden="1">
      <c r="A1395" s="15"/>
      <c r="B1395" s="16"/>
      <c r="C1395" s="17"/>
      <c r="D1395" s="17"/>
      <c r="E1395" s="32"/>
      <c r="F1395" s="19"/>
      <c r="G1395" s="20"/>
      <c r="H1395" s="20"/>
      <c r="I1395" s="21"/>
      <c r="J1395" s="21"/>
      <c r="K1395" s="22"/>
      <c r="L1395" s="23"/>
    </row>
    <row r="1396" hidden="1">
      <c r="A1396" s="6"/>
      <c r="B1396" s="7"/>
      <c r="C1396" s="8"/>
      <c r="D1396" s="8"/>
      <c r="E1396" s="32"/>
      <c r="F1396" s="10"/>
      <c r="G1396" s="11"/>
      <c r="H1396" s="11"/>
      <c r="I1396" s="12"/>
      <c r="J1396" s="12"/>
      <c r="K1396" s="13"/>
      <c r="L1396" s="14"/>
    </row>
    <row r="1397" hidden="1">
      <c r="A1397" s="15"/>
      <c r="B1397" s="16"/>
      <c r="C1397" s="17"/>
      <c r="D1397" s="17"/>
      <c r="E1397" s="32"/>
      <c r="F1397" s="19"/>
      <c r="G1397" s="20"/>
      <c r="H1397" s="20"/>
      <c r="I1397" s="21"/>
      <c r="J1397" s="21"/>
      <c r="K1397" s="22"/>
      <c r="L1397" s="23"/>
    </row>
    <row r="1398" hidden="1">
      <c r="A1398" s="6"/>
      <c r="B1398" s="7"/>
      <c r="C1398" s="8"/>
      <c r="D1398" s="8"/>
      <c r="E1398" s="32"/>
      <c r="F1398" s="10"/>
      <c r="G1398" s="11"/>
      <c r="H1398" s="11"/>
      <c r="I1398" s="12"/>
      <c r="J1398" s="12"/>
      <c r="K1398" s="13"/>
      <c r="L1398" s="14"/>
    </row>
    <row r="1399" hidden="1">
      <c r="A1399" s="15"/>
      <c r="B1399" s="16"/>
      <c r="C1399" s="17"/>
      <c r="D1399" s="17"/>
      <c r="E1399" s="32"/>
      <c r="F1399" s="19"/>
      <c r="G1399" s="20"/>
      <c r="H1399" s="20"/>
      <c r="I1399" s="21"/>
      <c r="J1399" s="21"/>
      <c r="K1399" s="22"/>
      <c r="L1399" s="23"/>
    </row>
    <row r="1400" hidden="1">
      <c r="A1400" s="6"/>
      <c r="B1400" s="7"/>
      <c r="C1400" s="8"/>
      <c r="D1400" s="8"/>
      <c r="E1400" s="32"/>
      <c r="F1400" s="10"/>
      <c r="G1400" s="11"/>
      <c r="H1400" s="11"/>
      <c r="I1400" s="12"/>
      <c r="J1400" s="12"/>
      <c r="K1400" s="13"/>
      <c r="L1400" s="14"/>
    </row>
    <row r="1401" hidden="1">
      <c r="A1401" s="15"/>
      <c r="B1401" s="16"/>
      <c r="C1401" s="17"/>
      <c r="D1401" s="17"/>
      <c r="E1401" s="32"/>
      <c r="F1401" s="19"/>
      <c r="G1401" s="20"/>
      <c r="H1401" s="20"/>
      <c r="I1401" s="21"/>
      <c r="J1401" s="21"/>
      <c r="K1401" s="22"/>
      <c r="L1401" s="23"/>
    </row>
    <row r="1402" hidden="1">
      <c r="A1402" s="6"/>
      <c r="B1402" s="7"/>
      <c r="C1402" s="8"/>
      <c r="D1402" s="8"/>
      <c r="E1402" s="32"/>
      <c r="F1402" s="10"/>
      <c r="G1402" s="11"/>
      <c r="H1402" s="11"/>
      <c r="I1402" s="12"/>
      <c r="J1402" s="12"/>
      <c r="K1402" s="13"/>
      <c r="L1402" s="14"/>
    </row>
    <row r="1403" hidden="1">
      <c r="A1403" s="15"/>
      <c r="B1403" s="16"/>
      <c r="C1403" s="17"/>
      <c r="D1403" s="17"/>
      <c r="E1403" s="32"/>
      <c r="F1403" s="19"/>
      <c r="G1403" s="20"/>
      <c r="H1403" s="20"/>
      <c r="I1403" s="21"/>
      <c r="J1403" s="21"/>
      <c r="K1403" s="22"/>
      <c r="L1403" s="23"/>
    </row>
    <row r="1404" hidden="1">
      <c r="A1404" s="6"/>
      <c r="B1404" s="7"/>
      <c r="C1404" s="8"/>
      <c r="D1404" s="8"/>
      <c r="E1404" s="32"/>
      <c r="F1404" s="10"/>
      <c r="G1404" s="11"/>
      <c r="H1404" s="11"/>
      <c r="I1404" s="12"/>
      <c r="J1404" s="12"/>
      <c r="K1404" s="13"/>
      <c r="L1404" s="14"/>
    </row>
    <row r="1405" hidden="1">
      <c r="A1405" s="15"/>
      <c r="B1405" s="16"/>
      <c r="C1405" s="17"/>
      <c r="D1405" s="17"/>
      <c r="E1405" s="32"/>
      <c r="F1405" s="19"/>
      <c r="G1405" s="20"/>
      <c r="H1405" s="20"/>
      <c r="I1405" s="21"/>
      <c r="J1405" s="21"/>
      <c r="K1405" s="22"/>
      <c r="L1405" s="23"/>
    </row>
    <row r="1406" hidden="1">
      <c r="A1406" s="6"/>
      <c r="B1406" s="7"/>
      <c r="C1406" s="8"/>
      <c r="D1406" s="8"/>
      <c r="E1406" s="32"/>
      <c r="F1406" s="10"/>
      <c r="G1406" s="11"/>
      <c r="H1406" s="11"/>
      <c r="I1406" s="12"/>
      <c r="J1406" s="12"/>
      <c r="K1406" s="13"/>
      <c r="L1406" s="14"/>
    </row>
    <row r="1407" hidden="1">
      <c r="A1407" s="15"/>
      <c r="B1407" s="16"/>
      <c r="C1407" s="17"/>
      <c r="D1407" s="17"/>
      <c r="E1407" s="32"/>
      <c r="F1407" s="19"/>
      <c r="G1407" s="20"/>
      <c r="H1407" s="20"/>
      <c r="I1407" s="21"/>
      <c r="J1407" s="21"/>
      <c r="K1407" s="22"/>
      <c r="L1407" s="23"/>
    </row>
    <row r="1408" hidden="1">
      <c r="A1408" s="6"/>
      <c r="B1408" s="7"/>
      <c r="C1408" s="8"/>
      <c r="D1408" s="8"/>
      <c r="E1408" s="32"/>
      <c r="F1408" s="10"/>
      <c r="G1408" s="11"/>
      <c r="H1408" s="11"/>
      <c r="I1408" s="12"/>
      <c r="J1408" s="12"/>
      <c r="K1408" s="13"/>
      <c r="L1408" s="14"/>
    </row>
    <row r="1409" hidden="1">
      <c r="A1409" s="15"/>
      <c r="B1409" s="16"/>
      <c r="C1409" s="17"/>
      <c r="D1409" s="17"/>
      <c r="E1409" s="32"/>
      <c r="F1409" s="19"/>
      <c r="G1409" s="20"/>
      <c r="H1409" s="20"/>
      <c r="I1409" s="21"/>
      <c r="J1409" s="21"/>
      <c r="K1409" s="22"/>
      <c r="L1409" s="23"/>
    </row>
    <row r="1410" hidden="1">
      <c r="A1410" s="6"/>
      <c r="B1410" s="7"/>
      <c r="C1410" s="8"/>
      <c r="D1410" s="8"/>
      <c r="E1410" s="32"/>
      <c r="F1410" s="10"/>
      <c r="G1410" s="11"/>
      <c r="H1410" s="11"/>
      <c r="I1410" s="12"/>
      <c r="J1410" s="12"/>
      <c r="K1410" s="13"/>
      <c r="L1410" s="14"/>
    </row>
    <row r="1411" hidden="1">
      <c r="A1411" s="15"/>
      <c r="B1411" s="16"/>
      <c r="C1411" s="17"/>
      <c r="D1411" s="17"/>
      <c r="E1411" s="32"/>
      <c r="F1411" s="19"/>
      <c r="G1411" s="20"/>
      <c r="H1411" s="20"/>
      <c r="I1411" s="21"/>
      <c r="J1411" s="21"/>
      <c r="K1411" s="22"/>
      <c r="L1411" s="23"/>
    </row>
    <row r="1412" hidden="1">
      <c r="A1412" s="6"/>
      <c r="B1412" s="7"/>
      <c r="C1412" s="8"/>
      <c r="D1412" s="8"/>
      <c r="E1412" s="32"/>
      <c r="F1412" s="10"/>
      <c r="G1412" s="11"/>
      <c r="H1412" s="11"/>
      <c r="I1412" s="12"/>
      <c r="J1412" s="12"/>
      <c r="K1412" s="13"/>
      <c r="L1412" s="14"/>
    </row>
    <row r="1413" hidden="1">
      <c r="A1413" s="15"/>
      <c r="B1413" s="16"/>
      <c r="C1413" s="17"/>
      <c r="D1413" s="17"/>
      <c r="E1413" s="32"/>
      <c r="F1413" s="19"/>
      <c r="G1413" s="20"/>
      <c r="H1413" s="20"/>
      <c r="I1413" s="21"/>
      <c r="J1413" s="21"/>
      <c r="K1413" s="22"/>
      <c r="L1413" s="23"/>
    </row>
    <row r="1414" hidden="1">
      <c r="A1414" s="6"/>
      <c r="B1414" s="7"/>
      <c r="C1414" s="8"/>
      <c r="D1414" s="8"/>
      <c r="E1414" s="32"/>
      <c r="F1414" s="10"/>
      <c r="G1414" s="11"/>
      <c r="H1414" s="11"/>
      <c r="I1414" s="12"/>
      <c r="J1414" s="12"/>
      <c r="K1414" s="13"/>
      <c r="L1414" s="14"/>
    </row>
    <row r="1415" hidden="1">
      <c r="A1415" s="15"/>
      <c r="B1415" s="16"/>
      <c r="C1415" s="17"/>
      <c r="D1415" s="17"/>
      <c r="E1415" s="32"/>
      <c r="F1415" s="19"/>
      <c r="G1415" s="20"/>
      <c r="H1415" s="20"/>
      <c r="I1415" s="21"/>
      <c r="J1415" s="21"/>
      <c r="K1415" s="22"/>
      <c r="L1415" s="23"/>
    </row>
    <row r="1416" hidden="1">
      <c r="A1416" s="6"/>
      <c r="B1416" s="7"/>
      <c r="C1416" s="8"/>
      <c r="D1416" s="8"/>
      <c r="E1416" s="32"/>
      <c r="F1416" s="10"/>
      <c r="G1416" s="11"/>
      <c r="H1416" s="11"/>
      <c r="I1416" s="12"/>
      <c r="J1416" s="12"/>
      <c r="K1416" s="13"/>
      <c r="L1416" s="14"/>
    </row>
    <row r="1417" hidden="1">
      <c r="A1417" s="15"/>
      <c r="B1417" s="16"/>
      <c r="C1417" s="17"/>
      <c r="D1417" s="17"/>
      <c r="E1417" s="32"/>
      <c r="F1417" s="19"/>
      <c r="G1417" s="20"/>
      <c r="H1417" s="20"/>
      <c r="I1417" s="21"/>
      <c r="J1417" s="21"/>
      <c r="K1417" s="22"/>
      <c r="L1417" s="23"/>
    </row>
    <row r="1418" hidden="1">
      <c r="A1418" s="6"/>
      <c r="B1418" s="7"/>
      <c r="C1418" s="8"/>
      <c r="D1418" s="8"/>
      <c r="E1418" s="32"/>
      <c r="F1418" s="10"/>
      <c r="G1418" s="11"/>
      <c r="H1418" s="11"/>
      <c r="I1418" s="12"/>
      <c r="J1418" s="12"/>
      <c r="K1418" s="13"/>
      <c r="L1418" s="14"/>
    </row>
    <row r="1419" hidden="1">
      <c r="A1419" s="15"/>
      <c r="B1419" s="16"/>
      <c r="C1419" s="17"/>
      <c r="D1419" s="17"/>
      <c r="E1419" s="32"/>
      <c r="F1419" s="19"/>
      <c r="G1419" s="20"/>
      <c r="H1419" s="20"/>
      <c r="I1419" s="21"/>
      <c r="J1419" s="21"/>
      <c r="K1419" s="22"/>
      <c r="L1419" s="23"/>
    </row>
    <row r="1420" hidden="1">
      <c r="A1420" s="6"/>
      <c r="B1420" s="7"/>
      <c r="C1420" s="8"/>
      <c r="D1420" s="8"/>
      <c r="E1420" s="32"/>
      <c r="F1420" s="10"/>
      <c r="G1420" s="11"/>
      <c r="H1420" s="11"/>
      <c r="I1420" s="12"/>
      <c r="J1420" s="12"/>
      <c r="K1420" s="13"/>
      <c r="L1420" s="14"/>
    </row>
    <row r="1421" hidden="1">
      <c r="A1421" s="15"/>
      <c r="B1421" s="16"/>
      <c r="C1421" s="17"/>
      <c r="D1421" s="17"/>
      <c r="E1421" s="32"/>
      <c r="F1421" s="19"/>
      <c r="G1421" s="20"/>
      <c r="H1421" s="20"/>
      <c r="I1421" s="21"/>
      <c r="J1421" s="21"/>
      <c r="K1421" s="22"/>
      <c r="L1421" s="23"/>
    </row>
    <row r="1422" hidden="1">
      <c r="A1422" s="6"/>
      <c r="B1422" s="7"/>
      <c r="C1422" s="8"/>
      <c r="D1422" s="8"/>
      <c r="E1422" s="32"/>
      <c r="F1422" s="10"/>
      <c r="G1422" s="11"/>
      <c r="H1422" s="11"/>
      <c r="I1422" s="12"/>
      <c r="J1422" s="12"/>
      <c r="K1422" s="13"/>
      <c r="L1422" s="14"/>
    </row>
    <row r="1423" hidden="1">
      <c r="A1423" s="15"/>
      <c r="B1423" s="16"/>
      <c r="C1423" s="17"/>
      <c r="D1423" s="17"/>
      <c r="E1423" s="32"/>
      <c r="F1423" s="19"/>
      <c r="G1423" s="20"/>
      <c r="H1423" s="20"/>
      <c r="I1423" s="21"/>
      <c r="J1423" s="21"/>
      <c r="K1423" s="22"/>
      <c r="L1423" s="23"/>
    </row>
    <row r="1424" hidden="1">
      <c r="A1424" s="6"/>
      <c r="B1424" s="7"/>
      <c r="C1424" s="8"/>
      <c r="D1424" s="8"/>
      <c r="E1424" s="32"/>
      <c r="F1424" s="10"/>
      <c r="G1424" s="11"/>
      <c r="H1424" s="11"/>
      <c r="I1424" s="12"/>
      <c r="J1424" s="12"/>
      <c r="K1424" s="13"/>
      <c r="L1424" s="14"/>
    </row>
    <row r="1425" hidden="1">
      <c r="A1425" s="15"/>
      <c r="B1425" s="16"/>
      <c r="C1425" s="17"/>
      <c r="D1425" s="17"/>
      <c r="E1425" s="32"/>
      <c r="F1425" s="19"/>
      <c r="G1425" s="20"/>
      <c r="H1425" s="20"/>
      <c r="I1425" s="21"/>
      <c r="J1425" s="21"/>
      <c r="K1425" s="22"/>
      <c r="L1425" s="23"/>
    </row>
    <row r="1426" hidden="1">
      <c r="A1426" s="6"/>
      <c r="B1426" s="7"/>
      <c r="C1426" s="8"/>
      <c r="D1426" s="8"/>
      <c r="E1426" s="32"/>
      <c r="F1426" s="10"/>
      <c r="G1426" s="11"/>
      <c r="H1426" s="11"/>
      <c r="I1426" s="12"/>
      <c r="J1426" s="12"/>
      <c r="K1426" s="13"/>
      <c r="L1426" s="14"/>
    </row>
    <row r="1427" hidden="1">
      <c r="A1427" s="15"/>
      <c r="B1427" s="16"/>
      <c r="C1427" s="17"/>
      <c r="D1427" s="17"/>
      <c r="E1427" s="32"/>
      <c r="F1427" s="19"/>
      <c r="G1427" s="20"/>
      <c r="H1427" s="20"/>
      <c r="I1427" s="21"/>
      <c r="J1427" s="21"/>
      <c r="K1427" s="22"/>
      <c r="L1427" s="23"/>
    </row>
    <row r="1428" hidden="1">
      <c r="A1428" s="6"/>
      <c r="B1428" s="7"/>
      <c r="C1428" s="8"/>
      <c r="D1428" s="8"/>
      <c r="E1428" s="32"/>
      <c r="F1428" s="10"/>
      <c r="G1428" s="11"/>
      <c r="H1428" s="11"/>
      <c r="I1428" s="12"/>
      <c r="J1428" s="12"/>
      <c r="K1428" s="13"/>
      <c r="L1428" s="14"/>
    </row>
    <row r="1429" hidden="1">
      <c r="A1429" s="15"/>
      <c r="B1429" s="16"/>
      <c r="C1429" s="17"/>
      <c r="D1429" s="17"/>
      <c r="E1429" s="32"/>
      <c r="F1429" s="19"/>
      <c r="G1429" s="20"/>
      <c r="H1429" s="20"/>
      <c r="I1429" s="21"/>
      <c r="J1429" s="21"/>
      <c r="K1429" s="22"/>
      <c r="L1429" s="23"/>
    </row>
    <row r="1430" hidden="1">
      <c r="A1430" s="6"/>
      <c r="B1430" s="7"/>
      <c r="C1430" s="8"/>
      <c r="D1430" s="8"/>
      <c r="E1430" s="32"/>
      <c r="F1430" s="10"/>
      <c r="G1430" s="11"/>
      <c r="H1430" s="11"/>
      <c r="I1430" s="12"/>
      <c r="J1430" s="12"/>
      <c r="K1430" s="13"/>
      <c r="L1430" s="14"/>
    </row>
    <row r="1431" hidden="1">
      <c r="A1431" s="15"/>
      <c r="B1431" s="16"/>
      <c r="C1431" s="17"/>
      <c r="D1431" s="17"/>
      <c r="E1431" s="32"/>
      <c r="F1431" s="19"/>
      <c r="G1431" s="20"/>
      <c r="H1431" s="20"/>
      <c r="I1431" s="21"/>
      <c r="J1431" s="21"/>
      <c r="K1431" s="22"/>
      <c r="L1431" s="23"/>
    </row>
    <row r="1432" hidden="1">
      <c r="A1432" s="6"/>
      <c r="B1432" s="7"/>
      <c r="C1432" s="8"/>
      <c r="D1432" s="8"/>
      <c r="E1432" s="32"/>
      <c r="F1432" s="10"/>
      <c r="G1432" s="11"/>
      <c r="H1432" s="11"/>
      <c r="I1432" s="12"/>
      <c r="J1432" s="12"/>
      <c r="K1432" s="13"/>
      <c r="L1432" s="14"/>
    </row>
    <row r="1433" hidden="1">
      <c r="A1433" s="15"/>
      <c r="B1433" s="16"/>
      <c r="C1433" s="17"/>
      <c r="D1433" s="17"/>
      <c r="E1433" s="32"/>
      <c r="F1433" s="19"/>
      <c r="G1433" s="20"/>
      <c r="H1433" s="20"/>
      <c r="I1433" s="21"/>
      <c r="J1433" s="21"/>
      <c r="K1433" s="22"/>
      <c r="L1433" s="23"/>
    </row>
    <row r="1434" hidden="1">
      <c r="A1434" s="6"/>
      <c r="B1434" s="7"/>
      <c r="C1434" s="8"/>
      <c r="D1434" s="8"/>
      <c r="E1434" s="32"/>
      <c r="F1434" s="10"/>
      <c r="G1434" s="11"/>
      <c r="H1434" s="11"/>
      <c r="I1434" s="12"/>
      <c r="J1434" s="12"/>
      <c r="K1434" s="13"/>
      <c r="L1434" s="14"/>
    </row>
    <row r="1435" hidden="1">
      <c r="A1435" s="15"/>
      <c r="B1435" s="16"/>
      <c r="C1435" s="17"/>
      <c r="D1435" s="17"/>
      <c r="E1435" s="32"/>
      <c r="F1435" s="19"/>
      <c r="G1435" s="20"/>
      <c r="H1435" s="20"/>
      <c r="I1435" s="21"/>
      <c r="J1435" s="21"/>
      <c r="K1435" s="22"/>
      <c r="L1435" s="23"/>
    </row>
    <row r="1436" hidden="1">
      <c r="A1436" s="6"/>
      <c r="B1436" s="7"/>
      <c r="C1436" s="8"/>
      <c r="D1436" s="8"/>
      <c r="E1436" s="32"/>
      <c r="F1436" s="10"/>
      <c r="G1436" s="11"/>
      <c r="H1436" s="11"/>
      <c r="I1436" s="12"/>
      <c r="J1436" s="12"/>
      <c r="K1436" s="13"/>
      <c r="L1436" s="14"/>
    </row>
    <row r="1437" hidden="1">
      <c r="A1437" s="15"/>
      <c r="B1437" s="16"/>
      <c r="C1437" s="17"/>
      <c r="D1437" s="17"/>
      <c r="E1437" s="32"/>
      <c r="F1437" s="19"/>
      <c r="G1437" s="20"/>
      <c r="H1437" s="20"/>
      <c r="I1437" s="21"/>
      <c r="J1437" s="21"/>
      <c r="K1437" s="22"/>
      <c r="L1437" s="23"/>
    </row>
    <row r="1438" hidden="1">
      <c r="A1438" s="6"/>
      <c r="B1438" s="7"/>
      <c r="C1438" s="8"/>
      <c r="D1438" s="8"/>
      <c r="E1438" s="32"/>
      <c r="F1438" s="10"/>
      <c r="G1438" s="11"/>
      <c r="H1438" s="11"/>
      <c r="I1438" s="12"/>
      <c r="J1438" s="12"/>
      <c r="K1438" s="13"/>
      <c r="L1438" s="14"/>
    </row>
    <row r="1439" hidden="1">
      <c r="A1439" s="15"/>
      <c r="B1439" s="16"/>
      <c r="C1439" s="17"/>
      <c r="D1439" s="17"/>
      <c r="E1439" s="32"/>
      <c r="F1439" s="19"/>
      <c r="G1439" s="20"/>
      <c r="H1439" s="20"/>
      <c r="I1439" s="21"/>
      <c r="J1439" s="21"/>
      <c r="K1439" s="22"/>
      <c r="L1439" s="23"/>
    </row>
    <row r="1440" hidden="1">
      <c r="A1440" s="6"/>
      <c r="B1440" s="7"/>
      <c r="C1440" s="8"/>
      <c r="D1440" s="8"/>
      <c r="E1440" s="32"/>
      <c r="F1440" s="10"/>
      <c r="G1440" s="11"/>
      <c r="H1440" s="11"/>
      <c r="I1440" s="12"/>
      <c r="J1440" s="12"/>
      <c r="K1440" s="13"/>
      <c r="L1440" s="14"/>
    </row>
    <row r="1441" hidden="1">
      <c r="A1441" s="15"/>
      <c r="B1441" s="16"/>
      <c r="C1441" s="17"/>
      <c r="D1441" s="17"/>
      <c r="E1441" s="32"/>
      <c r="F1441" s="19"/>
      <c r="G1441" s="20"/>
      <c r="H1441" s="20"/>
      <c r="I1441" s="21"/>
      <c r="J1441" s="21"/>
      <c r="K1441" s="22"/>
      <c r="L1441" s="23"/>
    </row>
    <row r="1442" hidden="1">
      <c r="A1442" s="6"/>
      <c r="B1442" s="7"/>
      <c r="C1442" s="8"/>
      <c r="D1442" s="8"/>
      <c r="E1442" s="32"/>
      <c r="F1442" s="10"/>
      <c r="G1442" s="11"/>
      <c r="H1442" s="11"/>
      <c r="I1442" s="12"/>
      <c r="J1442" s="12"/>
      <c r="K1442" s="13"/>
      <c r="L1442" s="14"/>
    </row>
    <row r="1443" hidden="1">
      <c r="A1443" s="15"/>
      <c r="B1443" s="16"/>
      <c r="C1443" s="17"/>
      <c r="D1443" s="17"/>
      <c r="E1443" s="32"/>
      <c r="F1443" s="19"/>
      <c r="G1443" s="20"/>
      <c r="H1443" s="20"/>
      <c r="I1443" s="21"/>
      <c r="J1443" s="21"/>
      <c r="K1443" s="22"/>
      <c r="L1443" s="23"/>
    </row>
    <row r="1444" hidden="1">
      <c r="A1444" s="6"/>
      <c r="B1444" s="7"/>
      <c r="C1444" s="8"/>
      <c r="D1444" s="8"/>
      <c r="E1444" s="32"/>
      <c r="F1444" s="10"/>
      <c r="G1444" s="11"/>
      <c r="H1444" s="11"/>
      <c r="I1444" s="12"/>
      <c r="J1444" s="12"/>
      <c r="K1444" s="13"/>
      <c r="L1444" s="14"/>
    </row>
    <row r="1445" hidden="1">
      <c r="A1445" s="15"/>
      <c r="B1445" s="16"/>
      <c r="C1445" s="17"/>
      <c r="D1445" s="17"/>
      <c r="E1445" s="32"/>
      <c r="F1445" s="19"/>
      <c r="G1445" s="20"/>
      <c r="H1445" s="20"/>
      <c r="I1445" s="21"/>
      <c r="J1445" s="21"/>
      <c r="K1445" s="22"/>
      <c r="L1445" s="23"/>
    </row>
    <row r="1446" hidden="1">
      <c r="A1446" s="6"/>
      <c r="B1446" s="7"/>
      <c r="C1446" s="8"/>
      <c r="D1446" s="8"/>
      <c r="E1446" s="32"/>
      <c r="F1446" s="10"/>
      <c r="G1446" s="11"/>
      <c r="H1446" s="11"/>
      <c r="I1446" s="12"/>
      <c r="J1446" s="12"/>
      <c r="K1446" s="13"/>
      <c r="L1446" s="14"/>
    </row>
    <row r="1447" hidden="1">
      <c r="A1447" s="15"/>
      <c r="B1447" s="16"/>
      <c r="C1447" s="17"/>
      <c r="D1447" s="17"/>
      <c r="E1447" s="32"/>
      <c r="F1447" s="19"/>
      <c r="G1447" s="20"/>
      <c r="H1447" s="20"/>
      <c r="I1447" s="21"/>
      <c r="J1447" s="21"/>
      <c r="K1447" s="22"/>
      <c r="L1447" s="23"/>
    </row>
    <row r="1448" hidden="1">
      <c r="A1448" s="6"/>
      <c r="B1448" s="7"/>
      <c r="C1448" s="8"/>
      <c r="D1448" s="8"/>
      <c r="E1448" s="32"/>
      <c r="F1448" s="10"/>
      <c r="G1448" s="11"/>
      <c r="H1448" s="11"/>
      <c r="I1448" s="12"/>
      <c r="J1448" s="12"/>
      <c r="K1448" s="13"/>
      <c r="L1448" s="14"/>
    </row>
    <row r="1449" hidden="1">
      <c r="A1449" s="15"/>
      <c r="B1449" s="16"/>
      <c r="C1449" s="17"/>
      <c r="D1449" s="17"/>
      <c r="E1449" s="32"/>
      <c r="F1449" s="19"/>
      <c r="G1449" s="20"/>
      <c r="H1449" s="20"/>
      <c r="I1449" s="21"/>
      <c r="J1449" s="21"/>
      <c r="K1449" s="22"/>
      <c r="L1449" s="23"/>
    </row>
    <row r="1450" hidden="1">
      <c r="A1450" s="6"/>
      <c r="B1450" s="7"/>
      <c r="C1450" s="8"/>
      <c r="D1450" s="8"/>
      <c r="E1450" s="32"/>
      <c r="F1450" s="10"/>
      <c r="G1450" s="11"/>
      <c r="H1450" s="11"/>
      <c r="I1450" s="12"/>
      <c r="J1450" s="12"/>
      <c r="K1450" s="13"/>
      <c r="L1450" s="14"/>
    </row>
    <row r="1451" hidden="1">
      <c r="A1451" s="15"/>
      <c r="B1451" s="16"/>
      <c r="C1451" s="17"/>
      <c r="D1451" s="17"/>
      <c r="E1451" s="32"/>
      <c r="F1451" s="19"/>
      <c r="G1451" s="20"/>
      <c r="H1451" s="20"/>
      <c r="I1451" s="21"/>
      <c r="J1451" s="21"/>
      <c r="K1451" s="22"/>
      <c r="L1451" s="23"/>
    </row>
    <row r="1452" hidden="1">
      <c r="A1452" s="6"/>
      <c r="B1452" s="7"/>
      <c r="C1452" s="8"/>
      <c r="D1452" s="8"/>
      <c r="E1452" s="32"/>
      <c r="F1452" s="10"/>
      <c r="G1452" s="11"/>
      <c r="H1452" s="11"/>
      <c r="I1452" s="12"/>
      <c r="J1452" s="12"/>
      <c r="K1452" s="13"/>
      <c r="L1452" s="14"/>
    </row>
    <row r="1453" hidden="1">
      <c r="A1453" s="15"/>
      <c r="B1453" s="16"/>
      <c r="C1453" s="17"/>
      <c r="D1453" s="17"/>
      <c r="E1453" s="32"/>
      <c r="F1453" s="19"/>
      <c r="G1453" s="20"/>
      <c r="H1453" s="20"/>
      <c r="I1453" s="21"/>
      <c r="J1453" s="21"/>
      <c r="K1453" s="22"/>
      <c r="L1453" s="23"/>
    </row>
    <row r="1454" hidden="1">
      <c r="A1454" s="6"/>
      <c r="B1454" s="7"/>
      <c r="C1454" s="8"/>
      <c r="D1454" s="8"/>
      <c r="E1454" s="32"/>
      <c r="F1454" s="10"/>
      <c r="G1454" s="11"/>
      <c r="H1454" s="11"/>
      <c r="I1454" s="12"/>
      <c r="J1454" s="12"/>
      <c r="K1454" s="13"/>
      <c r="L1454" s="14"/>
    </row>
    <row r="1455" hidden="1">
      <c r="A1455" s="15"/>
      <c r="B1455" s="16"/>
      <c r="C1455" s="17"/>
      <c r="D1455" s="17"/>
      <c r="E1455" s="32"/>
      <c r="F1455" s="19"/>
      <c r="G1455" s="20"/>
      <c r="H1455" s="20"/>
      <c r="I1455" s="21"/>
      <c r="J1455" s="21"/>
      <c r="K1455" s="22"/>
      <c r="L1455" s="23"/>
    </row>
    <row r="1456" hidden="1">
      <c r="A1456" s="6"/>
      <c r="B1456" s="7"/>
      <c r="C1456" s="8"/>
      <c r="D1456" s="8"/>
      <c r="E1456" s="32"/>
      <c r="F1456" s="10"/>
      <c r="G1456" s="11"/>
      <c r="H1456" s="11"/>
      <c r="I1456" s="12"/>
      <c r="J1456" s="12"/>
      <c r="K1456" s="13"/>
      <c r="L1456" s="14"/>
    </row>
    <row r="1457" hidden="1">
      <c r="A1457" s="15"/>
      <c r="B1457" s="16"/>
      <c r="C1457" s="17"/>
      <c r="D1457" s="17"/>
      <c r="E1457" s="32"/>
      <c r="F1457" s="19"/>
      <c r="G1457" s="20"/>
      <c r="H1457" s="20"/>
      <c r="I1457" s="21"/>
      <c r="J1457" s="21"/>
      <c r="K1457" s="22"/>
      <c r="L1457" s="23"/>
    </row>
    <row r="1458" hidden="1">
      <c r="A1458" s="6"/>
      <c r="B1458" s="7"/>
      <c r="C1458" s="8"/>
      <c r="D1458" s="8"/>
      <c r="E1458" s="32"/>
      <c r="F1458" s="10"/>
      <c r="G1458" s="11"/>
      <c r="H1458" s="11"/>
      <c r="I1458" s="12"/>
      <c r="J1458" s="12"/>
      <c r="K1458" s="13"/>
      <c r="L1458" s="14"/>
    </row>
    <row r="1459" hidden="1">
      <c r="A1459" s="15"/>
      <c r="B1459" s="16"/>
      <c r="C1459" s="17"/>
      <c r="D1459" s="17"/>
      <c r="E1459" s="32"/>
      <c r="F1459" s="19"/>
      <c r="G1459" s="20"/>
      <c r="H1459" s="20"/>
      <c r="I1459" s="21"/>
      <c r="J1459" s="21"/>
      <c r="K1459" s="22"/>
      <c r="L1459" s="23"/>
    </row>
    <row r="1460" hidden="1">
      <c r="A1460" s="6"/>
      <c r="B1460" s="7"/>
      <c r="C1460" s="8"/>
      <c r="D1460" s="8"/>
      <c r="E1460" s="32"/>
      <c r="F1460" s="10"/>
      <c r="G1460" s="11"/>
      <c r="H1460" s="11"/>
      <c r="I1460" s="12"/>
      <c r="J1460" s="12"/>
      <c r="K1460" s="13"/>
      <c r="L1460" s="14"/>
    </row>
    <row r="1461" hidden="1">
      <c r="A1461" s="15"/>
      <c r="B1461" s="16"/>
      <c r="C1461" s="17"/>
      <c r="D1461" s="17"/>
      <c r="E1461" s="32"/>
      <c r="F1461" s="19"/>
      <c r="G1461" s="20"/>
      <c r="H1461" s="20"/>
      <c r="I1461" s="21"/>
      <c r="J1461" s="21"/>
      <c r="K1461" s="22"/>
      <c r="L1461" s="23"/>
    </row>
    <row r="1462" hidden="1">
      <c r="A1462" s="6"/>
      <c r="B1462" s="7"/>
      <c r="C1462" s="8"/>
      <c r="D1462" s="8"/>
      <c r="E1462" s="32"/>
      <c r="F1462" s="10"/>
      <c r="G1462" s="11"/>
      <c r="H1462" s="11"/>
      <c r="I1462" s="12"/>
      <c r="J1462" s="12"/>
      <c r="K1462" s="13"/>
      <c r="L1462" s="14"/>
    </row>
    <row r="1463" hidden="1">
      <c r="A1463" s="15"/>
      <c r="B1463" s="16"/>
      <c r="C1463" s="17"/>
      <c r="D1463" s="17"/>
      <c r="E1463" s="32"/>
      <c r="F1463" s="19"/>
      <c r="G1463" s="20"/>
      <c r="H1463" s="20"/>
      <c r="I1463" s="21"/>
      <c r="J1463" s="21"/>
      <c r="K1463" s="22"/>
      <c r="L1463" s="23"/>
    </row>
    <row r="1464" hidden="1">
      <c r="A1464" s="6"/>
      <c r="B1464" s="7"/>
      <c r="C1464" s="8"/>
      <c r="D1464" s="8"/>
      <c r="E1464" s="32"/>
      <c r="F1464" s="10"/>
      <c r="G1464" s="11"/>
      <c r="H1464" s="11"/>
      <c r="I1464" s="12"/>
      <c r="J1464" s="12"/>
      <c r="K1464" s="13"/>
      <c r="L1464" s="14"/>
    </row>
    <row r="1465" hidden="1">
      <c r="A1465" s="15"/>
      <c r="B1465" s="16"/>
      <c r="C1465" s="17"/>
      <c r="D1465" s="17"/>
      <c r="E1465" s="32"/>
      <c r="F1465" s="19"/>
      <c r="G1465" s="20"/>
      <c r="H1465" s="20"/>
      <c r="I1465" s="21"/>
      <c r="J1465" s="21"/>
      <c r="K1465" s="22"/>
      <c r="L1465" s="23"/>
    </row>
    <row r="1466" hidden="1">
      <c r="A1466" s="6"/>
      <c r="B1466" s="7"/>
      <c r="C1466" s="8"/>
      <c r="D1466" s="8"/>
      <c r="E1466" s="32"/>
      <c r="F1466" s="10"/>
      <c r="G1466" s="11"/>
      <c r="H1466" s="11"/>
      <c r="I1466" s="12"/>
      <c r="J1466" s="12"/>
      <c r="K1466" s="13"/>
      <c r="L1466" s="14"/>
    </row>
    <row r="1467" hidden="1">
      <c r="A1467" s="15"/>
      <c r="B1467" s="16"/>
      <c r="C1467" s="17"/>
      <c r="D1467" s="17"/>
      <c r="E1467" s="32"/>
      <c r="F1467" s="19"/>
      <c r="G1467" s="20"/>
      <c r="H1467" s="20"/>
      <c r="I1467" s="21"/>
      <c r="J1467" s="21"/>
      <c r="K1467" s="22"/>
      <c r="L1467" s="23"/>
    </row>
    <row r="1468" hidden="1">
      <c r="A1468" s="6"/>
      <c r="B1468" s="7"/>
      <c r="C1468" s="8"/>
      <c r="D1468" s="8"/>
      <c r="E1468" s="32"/>
      <c r="F1468" s="10"/>
      <c r="G1468" s="11"/>
      <c r="H1468" s="11"/>
      <c r="I1468" s="12"/>
      <c r="J1468" s="12"/>
      <c r="K1468" s="13"/>
      <c r="L1468" s="14"/>
    </row>
    <row r="1469" hidden="1">
      <c r="A1469" s="15"/>
      <c r="B1469" s="16"/>
      <c r="C1469" s="17"/>
      <c r="D1469" s="17"/>
      <c r="E1469" s="32"/>
      <c r="F1469" s="19"/>
      <c r="G1469" s="20"/>
      <c r="H1469" s="20"/>
      <c r="I1469" s="21"/>
      <c r="J1469" s="21"/>
      <c r="K1469" s="22"/>
      <c r="L1469" s="23"/>
    </row>
    <row r="1470" hidden="1">
      <c r="A1470" s="6"/>
      <c r="B1470" s="7"/>
      <c r="C1470" s="8"/>
      <c r="D1470" s="8"/>
      <c r="E1470" s="32"/>
      <c r="F1470" s="10"/>
      <c r="G1470" s="11"/>
      <c r="H1470" s="11"/>
      <c r="I1470" s="12"/>
      <c r="J1470" s="12"/>
      <c r="K1470" s="13"/>
      <c r="L1470" s="14"/>
    </row>
    <row r="1471" hidden="1">
      <c r="A1471" s="15"/>
      <c r="B1471" s="16"/>
      <c r="C1471" s="17"/>
      <c r="D1471" s="17"/>
      <c r="E1471" s="32"/>
      <c r="F1471" s="19"/>
      <c r="G1471" s="20"/>
      <c r="H1471" s="20"/>
      <c r="I1471" s="21"/>
      <c r="J1471" s="21"/>
      <c r="K1471" s="22"/>
      <c r="L1471" s="23"/>
    </row>
    <row r="1472" hidden="1">
      <c r="A1472" s="6"/>
      <c r="B1472" s="7"/>
      <c r="C1472" s="8"/>
      <c r="D1472" s="8"/>
      <c r="E1472" s="32"/>
      <c r="F1472" s="10"/>
      <c r="G1472" s="11"/>
      <c r="H1472" s="11"/>
      <c r="I1472" s="12"/>
      <c r="J1472" s="12"/>
      <c r="K1472" s="13"/>
      <c r="L1472" s="14"/>
    </row>
    <row r="1473" hidden="1">
      <c r="A1473" s="15"/>
      <c r="B1473" s="16"/>
      <c r="C1473" s="17"/>
      <c r="D1473" s="17"/>
      <c r="E1473" s="32"/>
      <c r="F1473" s="19"/>
      <c r="G1473" s="20"/>
      <c r="H1473" s="20"/>
      <c r="I1473" s="21"/>
      <c r="J1473" s="21"/>
      <c r="K1473" s="22"/>
      <c r="L1473" s="23"/>
    </row>
    <row r="1474" hidden="1">
      <c r="A1474" s="6"/>
      <c r="B1474" s="7"/>
      <c r="C1474" s="8"/>
      <c r="D1474" s="8"/>
      <c r="E1474" s="32"/>
      <c r="F1474" s="10"/>
      <c r="G1474" s="11"/>
      <c r="H1474" s="11"/>
      <c r="I1474" s="12"/>
      <c r="J1474" s="12"/>
      <c r="K1474" s="13"/>
      <c r="L1474" s="14"/>
    </row>
    <row r="1475" hidden="1">
      <c r="A1475" s="15"/>
      <c r="B1475" s="16"/>
      <c r="C1475" s="17"/>
      <c r="D1475" s="17"/>
      <c r="E1475" s="32"/>
      <c r="F1475" s="19"/>
      <c r="G1475" s="20"/>
      <c r="H1475" s="20"/>
      <c r="I1475" s="21"/>
      <c r="J1475" s="21"/>
      <c r="K1475" s="22"/>
      <c r="L1475" s="23"/>
    </row>
    <row r="1476" hidden="1">
      <c r="A1476" s="6"/>
      <c r="B1476" s="7"/>
      <c r="C1476" s="8"/>
      <c r="D1476" s="8"/>
      <c r="E1476" s="32"/>
      <c r="F1476" s="10"/>
      <c r="G1476" s="11"/>
      <c r="H1476" s="11"/>
      <c r="I1476" s="12"/>
      <c r="J1476" s="12"/>
      <c r="K1476" s="13"/>
      <c r="L1476" s="14"/>
    </row>
    <row r="1477" hidden="1">
      <c r="A1477" s="15"/>
      <c r="B1477" s="16"/>
      <c r="C1477" s="17"/>
      <c r="D1477" s="17"/>
      <c r="E1477" s="32"/>
      <c r="F1477" s="19"/>
      <c r="G1477" s="20"/>
      <c r="H1477" s="20"/>
      <c r="I1477" s="21"/>
      <c r="J1477" s="21"/>
      <c r="K1477" s="22"/>
      <c r="L1477" s="23"/>
    </row>
    <row r="1478" hidden="1">
      <c r="A1478" s="6"/>
      <c r="B1478" s="7"/>
      <c r="C1478" s="8"/>
      <c r="D1478" s="8"/>
      <c r="E1478" s="32"/>
      <c r="F1478" s="10"/>
      <c r="G1478" s="11"/>
      <c r="H1478" s="11"/>
      <c r="I1478" s="12"/>
      <c r="J1478" s="12"/>
      <c r="K1478" s="13"/>
      <c r="L1478" s="14"/>
    </row>
    <row r="1479" hidden="1">
      <c r="A1479" s="15"/>
      <c r="B1479" s="16"/>
      <c r="C1479" s="17"/>
      <c r="D1479" s="17"/>
      <c r="E1479" s="32"/>
      <c r="F1479" s="19"/>
      <c r="G1479" s="20"/>
      <c r="H1479" s="20"/>
      <c r="I1479" s="21"/>
      <c r="J1479" s="21"/>
      <c r="K1479" s="22"/>
      <c r="L1479" s="23"/>
    </row>
    <row r="1480" hidden="1">
      <c r="A1480" s="6"/>
      <c r="B1480" s="7"/>
      <c r="C1480" s="8"/>
      <c r="D1480" s="8"/>
      <c r="E1480" s="32"/>
      <c r="F1480" s="10"/>
      <c r="G1480" s="11"/>
      <c r="H1480" s="11"/>
      <c r="I1480" s="12"/>
      <c r="J1480" s="12"/>
      <c r="K1480" s="13"/>
      <c r="L1480" s="14"/>
    </row>
    <row r="1481" hidden="1">
      <c r="A1481" s="15"/>
      <c r="B1481" s="16"/>
      <c r="C1481" s="17"/>
      <c r="D1481" s="17"/>
      <c r="E1481" s="32"/>
      <c r="F1481" s="19"/>
      <c r="G1481" s="20"/>
      <c r="H1481" s="20"/>
      <c r="I1481" s="21"/>
      <c r="J1481" s="21"/>
      <c r="K1481" s="22"/>
      <c r="L1481" s="23"/>
    </row>
    <row r="1482" hidden="1">
      <c r="A1482" s="6"/>
      <c r="B1482" s="7"/>
      <c r="C1482" s="8"/>
      <c r="D1482" s="8"/>
      <c r="E1482" s="32"/>
      <c r="F1482" s="10"/>
      <c r="G1482" s="11"/>
      <c r="H1482" s="11"/>
      <c r="I1482" s="12"/>
      <c r="J1482" s="12"/>
      <c r="K1482" s="13"/>
      <c r="L1482" s="14"/>
    </row>
    <row r="1483" hidden="1">
      <c r="A1483" s="15"/>
      <c r="B1483" s="16"/>
      <c r="C1483" s="17"/>
      <c r="D1483" s="17"/>
      <c r="E1483" s="32"/>
      <c r="F1483" s="19"/>
      <c r="G1483" s="20"/>
      <c r="H1483" s="20"/>
      <c r="I1483" s="21"/>
      <c r="J1483" s="21"/>
      <c r="K1483" s="22"/>
      <c r="L1483" s="23"/>
    </row>
    <row r="1484" hidden="1">
      <c r="A1484" s="6"/>
      <c r="B1484" s="7"/>
      <c r="C1484" s="8"/>
      <c r="D1484" s="8"/>
      <c r="E1484" s="32"/>
      <c r="F1484" s="10"/>
      <c r="G1484" s="11"/>
      <c r="H1484" s="11"/>
      <c r="I1484" s="12"/>
      <c r="J1484" s="12"/>
      <c r="K1484" s="13"/>
      <c r="L1484" s="14"/>
    </row>
    <row r="1485" hidden="1">
      <c r="A1485" s="15"/>
      <c r="B1485" s="16"/>
      <c r="C1485" s="17"/>
      <c r="D1485" s="17"/>
      <c r="E1485" s="32"/>
      <c r="F1485" s="19"/>
      <c r="G1485" s="20"/>
      <c r="H1485" s="20"/>
      <c r="I1485" s="21"/>
      <c r="J1485" s="21"/>
      <c r="K1485" s="22"/>
      <c r="L1485" s="23"/>
    </row>
    <row r="1486" hidden="1">
      <c r="A1486" s="6"/>
      <c r="B1486" s="7"/>
      <c r="C1486" s="8"/>
      <c r="D1486" s="8"/>
      <c r="E1486" s="32"/>
      <c r="F1486" s="10"/>
      <c r="G1486" s="11"/>
      <c r="H1486" s="11"/>
      <c r="I1486" s="12"/>
      <c r="J1486" s="12"/>
      <c r="K1486" s="13"/>
      <c r="L1486" s="14"/>
    </row>
    <row r="1487" hidden="1">
      <c r="A1487" s="15"/>
      <c r="B1487" s="16"/>
      <c r="C1487" s="17"/>
      <c r="D1487" s="17"/>
      <c r="E1487" s="32"/>
      <c r="F1487" s="19"/>
      <c r="G1487" s="20"/>
      <c r="H1487" s="20"/>
      <c r="I1487" s="21"/>
      <c r="J1487" s="21"/>
      <c r="K1487" s="22"/>
      <c r="L1487" s="23"/>
    </row>
    <row r="1488" hidden="1">
      <c r="A1488" s="6"/>
      <c r="B1488" s="7"/>
      <c r="C1488" s="8"/>
      <c r="D1488" s="8"/>
      <c r="E1488" s="32"/>
      <c r="F1488" s="10"/>
      <c r="G1488" s="11"/>
      <c r="H1488" s="11"/>
      <c r="I1488" s="12"/>
      <c r="J1488" s="12"/>
      <c r="K1488" s="13"/>
      <c r="L1488" s="14"/>
    </row>
    <row r="1489" hidden="1">
      <c r="A1489" s="15"/>
      <c r="B1489" s="16"/>
      <c r="C1489" s="17"/>
      <c r="D1489" s="17"/>
      <c r="E1489" s="32"/>
      <c r="F1489" s="19"/>
      <c r="G1489" s="20"/>
      <c r="H1489" s="20"/>
      <c r="I1489" s="21"/>
      <c r="J1489" s="21"/>
      <c r="K1489" s="22"/>
      <c r="L1489" s="23"/>
    </row>
    <row r="1490" hidden="1">
      <c r="A1490" s="6"/>
      <c r="B1490" s="7"/>
      <c r="C1490" s="8"/>
      <c r="D1490" s="8"/>
      <c r="E1490" s="32"/>
      <c r="F1490" s="10"/>
      <c r="G1490" s="11"/>
      <c r="H1490" s="11"/>
      <c r="I1490" s="12"/>
      <c r="J1490" s="12"/>
      <c r="K1490" s="13"/>
      <c r="L1490" s="14"/>
    </row>
    <row r="1491" hidden="1">
      <c r="A1491" s="15"/>
      <c r="B1491" s="16"/>
      <c r="C1491" s="17"/>
      <c r="D1491" s="17"/>
      <c r="E1491" s="32"/>
      <c r="F1491" s="19"/>
      <c r="G1491" s="20"/>
      <c r="H1491" s="20"/>
      <c r="I1491" s="21"/>
      <c r="J1491" s="21"/>
      <c r="K1491" s="22"/>
      <c r="L1491" s="23"/>
    </row>
    <row r="1492" hidden="1">
      <c r="A1492" s="6"/>
      <c r="B1492" s="7"/>
      <c r="C1492" s="8"/>
      <c r="D1492" s="8"/>
      <c r="E1492" s="32"/>
      <c r="F1492" s="10"/>
      <c r="G1492" s="11"/>
      <c r="H1492" s="11"/>
      <c r="I1492" s="12"/>
      <c r="J1492" s="12"/>
      <c r="K1492" s="13"/>
      <c r="L1492" s="14"/>
    </row>
    <row r="1493" hidden="1">
      <c r="A1493" s="15"/>
      <c r="B1493" s="16"/>
      <c r="C1493" s="17"/>
      <c r="D1493" s="17"/>
      <c r="E1493" s="32"/>
      <c r="F1493" s="19"/>
      <c r="G1493" s="20"/>
      <c r="H1493" s="20"/>
      <c r="I1493" s="21"/>
      <c r="J1493" s="21"/>
      <c r="K1493" s="22"/>
      <c r="L1493" s="23"/>
    </row>
    <row r="1494" hidden="1">
      <c r="A1494" s="6"/>
      <c r="B1494" s="7"/>
      <c r="C1494" s="8"/>
      <c r="D1494" s="8"/>
      <c r="E1494" s="32"/>
      <c r="F1494" s="10"/>
      <c r="G1494" s="11"/>
      <c r="H1494" s="11"/>
      <c r="I1494" s="12"/>
      <c r="J1494" s="12"/>
      <c r="K1494" s="13"/>
      <c r="L1494" s="14"/>
    </row>
    <row r="1495" hidden="1">
      <c r="A1495" s="15"/>
      <c r="B1495" s="16"/>
      <c r="C1495" s="17"/>
      <c r="D1495" s="17"/>
      <c r="E1495" s="32"/>
      <c r="F1495" s="19"/>
      <c r="G1495" s="20"/>
      <c r="H1495" s="20"/>
      <c r="I1495" s="21"/>
      <c r="J1495" s="21"/>
      <c r="K1495" s="22"/>
      <c r="L1495" s="23"/>
    </row>
    <row r="1496" hidden="1">
      <c r="A1496" s="6"/>
      <c r="B1496" s="7"/>
      <c r="C1496" s="8"/>
      <c r="D1496" s="8"/>
      <c r="E1496" s="32"/>
      <c r="F1496" s="10"/>
      <c r="G1496" s="11"/>
      <c r="H1496" s="11"/>
      <c r="I1496" s="12"/>
      <c r="J1496" s="12"/>
      <c r="K1496" s="13"/>
      <c r="L1496" s="14"/>
    </row>
    <row r="1497" hidden="1">
      <c r="A1497" s="15"/>
      <c r="B1497" s="16"/>
      <c r="C1497" s="17"/>
      <c r="D1497" s="17"/>
      <c r="E1497" s="32"/>
      <c r="F1497" s="19"/>
      <c r="G1497" s="20"/>
      <c r="H1497" s="20"/>
      <c r="I1497" s="21"/>
      <c r="J1497" s="21"/>
      <c r="K1497" s="22"/>
      <c r="L1497" s="23"/>
    </row>
    <row r="1498" hidden="1">
      <c r="A1498" s="6"/>
      <c r="B1498" s="7"/>
      <c r="C1498" s="8"/>
      <c r="D1498" s="8"/>
      <c r="E1498" s="32"/>
      <c r="F1498" s="10"/>
      <c r="G1498" s="11"/>
      <c r="H1498" s="11"/>
      <c r="I1498" s="12"/>
      <c r="J1498" s="12"/>
      <c r="K1498" s="13"/>
      <c r="L1498" s="14"/>
    </row>
    <row r="1499" hidden="1">
      <c r="A1499" s="15"/>
      <c r="B1499" s="16"/>
      <c r="C1499" s="17"/>
      <c r="D1499" s="17"/>
      <c r="E1499" s="32"/>
      <c r="F1499" s="19"/>
      <c r="G1499" s="20"/>
      <c r="H1499" s="20"/>
      <c r="I1499" s="21"/>
      <c r="J1499" s="21"/>
      <c r="K1499" s="22"/>
      <c r="L1499" s="23"/>
    </row>
    <row r="1500" hidden="1">
      <c r="A1500" s="6"/>
      <c r="B1500" s="7"/>
      <c r="C1500" s="8"/>
      <c r="D1500" s="8"/>
      <c r="E1500" s="32"/>
      <c r="F1500" s="10"/>
      <c r="G1500" s="11"/>
      <c r="H1500" s="11"/>
      <c r="I1500" s="12"/>
      <c r="J1500" s="12"/>
      <c r="K1500" s="13"/>
      <c r="L1500" s="14"/>
    </row>
    <row r="1501" hidden="1">
      <c r="A1501" s="15"/>
      <c r="B1501" s="16"/>
      <c r="C1501" s="17"/>
      <c r="D1501" s="17"/>
      <c r="E1501" s="32"/>
      <c r="F1501" s="19"/>
      <c r="G1501" s="20"/>
      <c r="H1501" s="20"/>
      <c r="I1501" s="21"/>
      <c r="J1501" s="21"/>
      <c r="K1501" s="22"/>
      <c r="L1501" s="23"/>
    </row>
    <row r="1502" hidden="1">
      <c r="A1502" s="6"/>
      <c r="B1502" s="7"/>
      <c r="C1502" s="8"/>
      <c r="D1502" s="8"/>
      <c r="E1502" s="32"/>
      <c r="F1502" s="10"/>
      <c r="G1502" s="11"/>
      <c r="H1502" s="11"/>
      <c r="I1502" s="12"/>
      <c r="J1502" s="12"/>
      <c r="K1502" s="13"/>
      <c r="L1502" s="14"/>
    </row>
    <row r="1503" hidden="1">
      <c r="A1503" s="15"/>
      <c r="B1503" s="16"/>
      <c r="C1503" s="17"/>
      <c r="D1503" s="17"/>
      <c r="E1503" s="32"/>
      <c r="F1503" s="19"/>
      <c r="G1503" s="20"/>
      <c r="H1503" s="20"/>
      <c r="I1503" s="21"/>
      <c r="J1503" s="21"/>
      <c r="K1503" s="22"/>
      <c r="L1503" s="23"/>
    </row>
    <row r="1504" hidden="1">
      <c r="A1504" s="6"/>
      <c r="B1504" s="7"/>
      <c r="C1504" s="8"/>
      <c r="D1504" s="8"/>
      <c r="E1504" s="32"/>
      <c r="F1504" s="10"/>
      <c r="G1504" s="11"/>
      <c r="H1504" s="11"/>
      <c r="I1504" s="12"/>
      <c r="J1504" s="12"/>
      <c r="K1504" s="13"/>
      <c r="L1504" s="14"/>
    </row>
    <row r="1505" hidden="1">
      <c r="A1505" s="15"/>
      <c r="B1505" s="16"/>
      <c r="C1505" s="17"/>
      <c r="D1505" s="17"/>
      <c r="E1505" s="32"/>
      <c r="F1505" s="19"/>
      <c r="G1505" s="20"/>
      <c r="H1505" s="20"/>
      <c r="I1505" s="21"/>
      <c r="J1505" s="21"/>
      <c r="K1505" s="22"/>
      <c r="L1505" s="23"/>
    </row>
    <row r="1506" hidden="1">
      <c r="A1506" s="6"/>
      <c r="B1506" s="7"/>
      <c r="C1506" s="8"/>
      <c r="D1506" s="8"/>
      <c r="E1506" s="32"/>
      <c r="F1506" s="10"/>
      <c r="G1506" s="11"/>
      <c r="H1506" s="11"/>
      <c r="I1506" s="12"/>
      <c r="J1506" s="12"/>
      <c r="K1506" s="13"/>
      <c r="L1506" s="14"/>
    </row>
    <row r="1507" hidden="1">
      <c r="A1507" s="15"/>
      <c r="B1507" s="16"/>
      <c r="C1507" s="17"/>
      <c r="D1507" s="17"/>
      <c r="E1507" s="32"/>
      <c r="F1507" s="19"/>
      <c r="G1507" s="20"/>
      <c r="H1507" s="20"/>
      <c r="I1507" s="21"/>
      <c r="J1507" s="21"/>
      <c r="K1507" s="22"/>
      <c r="L1507" s="23"/>
    </row>
    <row r="1508" hidden="1">
      <c r="A1508" s="6"/>
      <c r="B1508" s="7"/>
      <c r="C1508" s="8"/>
      <c r="D1508" s="8"/>
      <c r="E1508" s="32"/>
      <c r="F1508" s="10"/>
      <c r="G1508" s="11"/>
      <c r="H1508" s="11"/>
      <c r="I1508" s="12"/>
      <c r="J1508" s="12"/>
      <c r="K1508" s="13"/>
      <c r="L1508" s="14"/>
    </row>
    <row r="1509" hidden="1">
      <c r="A1509" s="15"/>
      <c r="B1509" s="16"/>
      <c r="C1509" s="17"/>
      <c r="D1509" s="17"/>
      <c r="E1509" s="32"/>
      <c r="F1509" s="19"/>
      <c r="G1509" s="20"/>
      <c r="H1509" s="20"/>
      <c r="I1509" s="21"/>
      <c r="J1509" s="21"/>
      <c r="K1509" s="22"/>
      <c r="L1509" s="23"/>
    </row>
    <row r="1510" hidden="1">
      <c r="A1510" s="6"/>
      <c r="B1510" s="7"/>
      <c r="C1510" s="8"/>
      <c r="D1510" s="8"/>
      <c r="E1510" s="32"/>
      <c r="F1510" s="10"/>
      <c r="G1510" s="11"/>
      <c r="H1510" s="11"/>
      <c r="I1510" s="12"/>
      <c r="J1510" s="12"/>
      <c r="K1510" s="13"/>
      <c r="L1510" s="14"/>
    </row>
    <row r="1511" hidden="1">
      <c r="A1511" s="15"/>
      <c r="B1511" s="16"/>
      <c r="C1511" s="17"/>
      <c r="D1511" s="17"/>
      <c r="E1511" s="32"/>
      <c r="F1511" s="19"/>
      <c r="G1511" s="20"/>
      <c r="H1511" s="20"/>
      <c r="I1511" s="21"/>
      <c r="J1511" s="21"/>
      <c r="K1511" s="22"/>
      <c r="L1511" s="23"/>
    </row>
    <row r="1512" hidden="1">
      <c r="A1512" s="6"/>
      <c r="B1512" s="7"/>
      <c r="C1512" s="8"/>
      <c r="D1512" s="8"/>
      <c r="E1512" s="32"/>
      <c r="F1512" s="10"/>
      <c r="G1512" s="11"/>
      <c r="H1512" s="11"/>
      <c r="I1512" s="12"/>
      <c r="J1512" s="12"/>
      <c r="K1512" s="13"/>
      <c r="L1512" s="14"/>
    </row>
    <row r="1513" hidden="1">
      <c r="A1513" s="15"/>
      <c r="B1513" s="16"/>
      <c r="C1513" s="17"/>
      <c r="D1513" s="17"/>
      <c r="E1513" s="32"/>
      <c r="F1513" s="19"/>
      <c r="G1513" s="20"/>
      <c r="H1513" s="20"/>
      <c r="I1513" s="21"/>
      <c r="J1513" s="21"/>
      <c r="K1513" s="22"/>
      <c r="L1513" s="23"/>
    </row>
    <row r="1514" hidden="1">
      <c r="A1514" s="6"/>
      <c r="B1514" s="7"/>
      <c r="C1514" s="8"/>
      <c r="D1514" s="8"/>
      <c r="E1514" s="32"/>
      <c r="F1514" s="10"/>
      <c r="G1514" s="11"/>
      <c r="H1514" s="11"/>
      <c r="I1514" s="12"/>
      <c r="J1514" s="12"/>
      <c r="K1514" s="13"/>
      <c r="L1514" s="14"/>
    </row>
    <row r="1515" hidden="1">
      <c r="A1515" s="15"/>
      <c r="B1515" s="16"/>
      <c r="C1515" s="17"/>
      <c r="D1515" s="17"/>
      <c r="E1515" s="32"/>
      <c r="F1515" s="19"/>
      <c r="G1515" s="20"/>
      <c r="H1515" s="20"/>
      <c r="I1515" s="21"/>
      <c r="J1515" s="21"/>
      <c r="K1515" s="22"/>
      <c r="L1515" s="23"/>
    </row>
    <row r="1516" hidden="1">
      <c r="A1516" s="6"/>
      <c r="B1516" s="7"/>
      <c r="C1516" s="8"/>
      <c r="D1516" s="8"/>
      <c r="E1516" s="32"/>
      <c r="F1516" s="10"/>
      <c r="G1516" s="11"/>
      <c r="H1516" s="11"/>
      <c r="I1516" s="12"/>
      <c r="J1516" s="12"/>
      <c r="K1516" s="13"/>
      <c r="L1516" s="14"/>
    </row>
    <row r="1517" hidden="1">
      <c r="A1517" s="15"/>
      <c r="B1517" s="16"/>
      <c r="C1517" s="17"/>
      <c r="D1517" s="17"/>
      <c r="E1517" s="32"/>
      <c r="F1517" s="19"/>
      <c r="G1517" s="20"/>
      <c r="H1517" s="20"/>
      <c r="I1517" s="21"/>
      <c r="J1517" s="21"/>
      <c r="K1517" s="22"/>
      <c r="L1517" s="23"/>
    </row>
    <row r="1518" hidden="1">
      <c r="A1518" s="6"/>
      <c r="B1518" s="7"/>
      <c r="C1518" s="8"/>
      <c r="D1518" s="8"/>
      <c r="E1518" s="32"/>
      <c r="F1518" s="10"/>
      <c r="G1518" s="11"/>
      <c r="H1518" s="11"/>
      <c r="I1518" s="12"/>
      <c r="J1518" s="12"/>
      <c r="K1518" s="13"/>
      <c r="L1518" s="14"/>
    </row>
    <row r="1519" hidden="1">
      <c r="A1519" s="15"/>
      <c r="B1519" s="16"/>
      <c r="C1519" s="17"/>
      <c r="D1519" s="17"/>
      <c r="E1519" s="32"/>
      <c r="F1519" s="19"/>
      <c r="G1519" s="20"/>
      <c r="H1519" s="20"/>
      <c r="I1519" s="21"/>
      <c r="J1519" s="21"/>
      <c r="K1519" s="22"/>
      <c r="L1519" s="23"/>
    </row>
    <row r="1520" hidden="1">
      <c r="A1520" s="6"/>
      <c r="B1520" s="7"/>
      <c r="C1520" s="8"/>
      <c r="D1520" s="8"/>
      <c r="E1520" s="32"/>
      <c r="F1520" s="10"/>
      <c r="G1520" s="11"/>
      <c r="H1520" s="11"/>
      <c r="I1520" s="12"/>
      <c r="J1520" s="12"/>
      <c r="K1520" s="13"/>
      <c r="L1520" s="14"/>
    </row>
    <row r="1521" hidden="1">
      <c r="A1521" s="15"/>
      <c r="B1521" s="16"/>
      <c r="C1521" s="17"/>
      <c r="D1521" s="17"/>
      <c r="E1521" s="32"/>
      <c r="F1521" s="19"/>
      <c r="G1521" s="20"/>
      <c r="H1521" s="20"/>
      <c r="I1521" s="21"/>
      <c r="J1521" s="21"/>
      <c r="K1521" s="22"/>
      <c r="L1521" s="23"/>
    </row>
    <row r="1522" hidden="1">
      <c r="A1522" s="6"/>
      <c r="B1522" s="7"/>
      <c r="C1522" s="8"/>
      <c r="D1522" s="8"/>
      <c r="E1522" s="32"/>
      <c r="F1522" s="10"/>
      <c r="G1522" s="11"/>
      <c r="H1522" s="11"/>
      <c r="I1522" s="12"/>
      <c r="J1522" s="12"/>
      <c r="K1522" s="13"/>
      <c r="L1522" s="14"/>
    </row>
    <row r="1523" hidden="1">
      <c r="A1523" s="15"/>
      <c r="B1523" s="16"/>
      <c r="C1523" s="17"/>
      <c r="D1523" s="17"/>
      <c r="E1523" s="32"/>
      <c r="F1523" s="19"/>
      <c r="G1523" s="20"/>
      <c r="H1523" s="20"/>
      <c r="I1523" s="21"/>
      <c r="J1523" s="21"/>
      <c r="K1523" s="22"/>
      <c r="L1523" s="23"/>
    </row>
    <row r="1524" hidden="1">
      <c r="A1524" s="6"/>
      <c r="B1524" s="7"/>
      <c r="C1524" s="8"/>
      <c r="D1524" s="8"/>
      <c r="E1524" s="32"/>
      <c r="F1524" s="10"/>
      <c r="G1524" s="11"/>
      <c r="H1524" s="11"/>
      <c r="I1524" s="12"/>
      <c r="J1524" s="12"/>
      <c r="K1524" s="13"/>
      <c r="L1524" s="14"/>
    </row>
    <row r="1525" hidden="1">
      <c r="A1525" s="15"/>
      <c r="B1525" s="16"/>
      <c r="C1525" s="17"/>
      <c r="D1525" s="17"/>
      <c r="E1525" s="32"/>
      <c r="F1525" s="19"/>
      <c r="G1525" s="20"/>
      <c r="H1525" s="20"/>
      <c r="I1525" s="21"/>
      <c r="J1525" s="21"/>
      <c r="K1525" s="22"/>
      <c r="L1525" s="23"/>
    </row>
    <row r="1526" hidden="1">
      <c r="A1526" s="6"/>
      <c r="B1526" s="7"/>
      <c r="C1526" s="8"/>
      <c r="D1526" s="8"/>
      <c r="E1526" s="32"/>
      <c r="F1526" s="10"/>
      <c r="G1526" s="11"/>
      <c r="H1526" s="11"/>
      <c r="I1526" s="12"/>
      <c r="J1526" s="12"/>
      <c r="K1526" s="13"/>
      <c r="L1526" s="14"/>
    </row>
    <row r="1527" hidden="1">
      <c r="A1527" s="15"/>
      <c r="B1527" s="16"/>
      <c r="C1527" s="17"/>
      <c r="D1527" s="17"/>
      <c r="E1527" s="32"/>
      <c r="F1527" s="19"/>
      <c r="G1527" s="20"/>
      <c r="H1527" s="20"/>
      <c r="I1527" s="21"/>
      <c r="J1527" s="21"/>
      <c r="K1527" s="22"/>
      <c r="L1527" s="23"/>
    </row>
    <row r="1528" hidden="1">
      <c r="A1528" s="6"/>
      <c r="B1528" s="7"/>
      <c r="C1528" s="8"/>
      <c r="D1528" s="8"/>
      <c r="E1528" s="32"/>
      <c r="F1528" s="10"/>
      <c r="G1528" s="11"/>
      <c r="H1528" s="11"/>
      <c r="I1528" s="12"/>
      <c r="J1528" s="12"/>
      <c r="K1528" s="13"/>
      <c r="L1528" s="14"/>
    </row>
    <row r="1529" hidden="1">
      <c r="A1529" s="15"/>
      <c r="B1529" s="16"/>
      <c r="C1529" s="17"/>
      <c r="D1529" s="17"/>
      <c r="E1529" s="32"/>
      <c r="F1529" s="19"/>
      <c r="G1529" s="20"/>
      <c r="H1529" s="20"/>
      <c r="I1529" s="21"/>
      <c r="J1529" s="21"/>
      <c r="K1529" s="22"/>
      <c r="L1529" s="23"/>
    </row>
    <row r="1530" hidden="1">
      <c r="A1530" s="6"/>
      <c r="B1530" s="7"/>
      <c r="C1530" s="8"/>
      <c r="D1530" s="8"/>
      <c r="E1530" s="32"/>
      <c r="F1530" s="10"/>
      <c r="G1530" s="11"/>
      <c r="H1530" s="11"/>
      <c r="I1530" s="12"/>
      <c r="J1530" s="12"/>
      <c r="K1530" s="13"/>
      <c r="L1530" s="14"/>
    </row>
    <row r="1531" hidden="1">
      <c r="A1531" s="15"/>
      <c r="B1531" s="16"/>
      <c r="C1531" s="17"/>
      <c r="D1531" s="17"/>
      <c r="E1531" s="32"/>
      <c r="F1531" s="19"/>
      <c r="G1531" s="20"/>
      <c r="H1531" s="20"/>
      <c r="I1531" s="21"/>
      <c r="J1531" s="21"/>
      <c r="K1531" s="22"/>
      <c r="L1531" s="23"/>
    </row>
    <row r="1532" hidden="1">
      <c r="A1532" s="6"/>
      <c r="B1532" s="7"/>
      <c r="C1532" s="8"/>
      <c r="D1532" s="8"/>
      <c r="E1532" s="32"/>
      <c r="F1532" s="10"/>
      <c r="G1532" s="11"/>
      <c r="H1532" s="11"/>
      <c r="I1532" s="12"/>
      <c r="J1532" s="12"/>
      <c r="K1532" s="13"/>
      <c r="L1532" s="14"/>
    </row>
    <row r="1533" hidden="1">
      <c r="A1533" s="15"/>
      <c r="B1533" s="16"/>
      <c r="C1533" s="17"/>
      <c r="D1533" s="17"/>
      <c r="E1533" s="32"/>
      <c r="F1533" s="19"/>
      <c r="G1533" s="20"/>
      <c r="H1533" s="20"/>
      <c r="I1533" s="21"/>
      <c r="J1533" s="21"/>
      <c r="K1533" s="22"/>
      <c r="L1533" s="23"/>
    </row>
    <row r="1534" hidden="1">
      <c r="A1534" s="6"/>
      <c r="B1534" s="7"/>
      <c r="C1534" s="8"/>
      <c r="D1534" s="8"/>
      <c r="E1534" s="32"/>
      <c r="F1534" s="10"/>
      <c r="G1534" s="11"/>
      <c r="H1534" s="11"/>
      <c r="I1534" s="12"/>
      <c r="J1534" s="12"/>
      <c r="K1534" s="13"/>
      <c r="L1534" s="14"/>
    </row>
    <row r="1535" hidden="1">
      <c r="A1535" s="15"/>
      <c r="B1535" s="16"/>
      <c r="C1535" s="17"/>
      <c r="D1535" s="17"/>
      <c r="E1535" s="32"/>
      <c r="F1535" s="19"/>
      <c r="G1535" s="20"/>
      <c r="H1535" s="20"/>
      <c r="I1535" s="21"/>
      <c r="J1535" s="21"/>
      <c r="K1535" s="22"/>
      <c r="L1535" s="23"/>
    </row>
    <row r="1536" hidden="1">
      <c r="A1536" s="6"/>
      <c r="B1536" s="7"/>
      <c r="C1536" s="8"/>
      <c r="D1536" s="8"/>
      <c r="E1536" s="32"/>
      <c r="F1536" s="10"/>
      <c r="G1536" s="11"/>
      <c r="H1536" s="11"/>
      <c r="I1536" s="12"/>
      <c r="J1536" s="12"/>
      <c r="K1536" s="13"/>
      <c r="L1536" s="14"/>
    </row>
    <row r="1537" hidden="1">
      <c r="A1537" s="15"/>
      <c r="B1537" s="16"/>
      <c r="C1537" s="17"/>
      <c r="D1537" s="17"/>
      <c r="E1537" s="32"/>
      <c r="F1537" s="19"/>
      <c r="G1537" s="20"/>
      <c r="H1537" s="20"/>
      <c r="I1537" s="21"/>
      <c r="J1537" s="21"/>
      <c r="K1537" s="22"/>
      <c r="L1537" s="23"/>
    </row>
    <row r="1538" hidden="1">
      <c r="A1538" s="6"/>
      <c r="B1538" s="7"/>
      <c r="C1538" s="8"/>
      <c r="D1538" s="8"/>
      <c r="E1538" s="32"/>
      <c r="F1538" s="10"/>
      <c r="G1538" s="11"/>
      <c r="H1538" s="11"/>
      <c r="I1538" s="12"/>
      <c r="J1538" s="12"/>
      <c r="K1538" s="13"/>
      <c r="L1538" s="14"/>
    </row>
    <row r="1539" hidden="1">
      <c r="A1539" s="15"/>
      <c r="B1539" s="16"/>
      <c r="C1539" s="17"/>
      <c r="D1539" s="17"/>
      <c r="E1539" s="32"/>
      <c r="F1539" s="19"/>
      <c r="G1539" s="20"/>
      <c r="H1539" s="20"/>
      <c r="I1539" s="21"/>
      <c r="J1539" s="21"/>
      <c r="K1539" s="22"/>
      <c r="L1539" s="23"/>
    </row>
    <row r="1540" hidden="1">
      <c r="A1540" s="6"/>
      <c r="B1540" s="7"/>
      <c r="C1540" s="8"/>
      <c r="D1540" s="8"/>
      <c r="E1540" s="32"/>
      <c r="F1540" s="10"/>
      <c r="G1540" s="11"/>
      <c r="H1540" s="11"/>
      <c r="I1540" s="12"/>
      <c r="J1540" s="12"/>
      <c r="K1540" s="13"/>
      <c r="L1540" s="14"/>
    </row>
    <row r="1541" hidden="1">
      <c r="A1541" s="15"/>
      <c r="B1541" s="16"/>
      <c r="C1541" s="17"/>
      <c r="D1541" s="17"/>
      <c r="E1541" s="32"/>
      <c r="F1541" s="19"/>
      <c r="G1541" s="20"/>
      <c r="H1541" s="20"/>
      <c r="I1541" s="21"/>
      <c r="J1541" s="21"/>
      <c r="K1541" s="22"/>
      <c r="L1541" s="23"/>
    </row>
    <row r="1542" hidden="1">
      <c r="A1542" s="6"/>
      <c r="B1542" s="7"/>
      <c r="C1542" s="8"/>
      <c r="D1542" s="8"/>
      <c r="E1542" s="32"/>
      <c r="F1542" s="10"/>
      <c r="G1542" s="11"/>
      <c r="H1542" s="11"/>
      <c r="I1542" s="12"/>
      <c r="J1542" s="12"/>
      <c r="K1542" s="13"/>
      <c r="L1542" s="14"/>
    </row>
    <row r="1543" hidden="1">
      <c r="A1543" s="15"/>
      <c r="B1543" s="16"/>
      <c r="C1543" s="17"/>
      <c r="D1543" s="17"/>
      <c r="E1543" s="32"/>
      <c r="F1543" s="19"/>
      <c r="G1543" s="20"/>
      <c r="H1543" s="20"/>
      <c r="I1543" s="21"/>
      <c r="J1543" s="21"/>
      <c r="K1543" s="22"/>
      <c r="L1543" s="23"/>
    </row>
    <row r="1544" hidden="1">
      <c r="A1544" s="6"/>
      <c r="B1544" s="7"/>
      <c r="C1544" s="8"/>
      <c r="D1544" s="8"/>
      <c r="E1544" s="32"/>
      <c r="F1544" s="10"/>
      <c r="G1544" s="11"/>
      <c r="H1544" s="11"/>
      <c r="I1544" s="12"/>
      <c r="J1544" s="12"/>
      <c r="K1544" s="13"/>
      <c r="L1544" s="14"/>
    </row>
    <row r="1545" hidden="1">
      <c r="A1545" s="15"/>
      <c r="B1545" s="16"/>
      <c r="C1545" s="17"/>
      <c r="D1545" s="17"/>
      <c r="E1545" s="32"/>
      <c r="F1545" s="19"/>
      <c r="G1545" s="20"/>
      <c r="H1545" s="20"/>
      <c r="I1545" s="21"/>
      <c r="J1545" s="21"/>
      <c r="K1545" s="22"/>
      <c r="L1545" s="23"/>
    </row>
    <row r="1546" hidden="1">
      <c r="A1546" s="6"/>
      <c r="B1546" s="7"/>
      <c r="C1546" s="8"/>
      <c r="D1546" s="8"/>
      <c r="E1546" s="32"/>
      <c r="F1546" s="10"/>
      <c r="G1546" s="11"/>
      <c r="H1546" s="11"/>
      <c r="I1546" s="12"/>
      <c r="J1546" s="12"/>
      <c r="K1546" s="13"/>
      <c r="L1546" s="14"/>
    </row>
    <row r="1547" hidden="1">
      <c r="A1547" s="15"/>
      <c r="B1547" s="16"/>
      <c r="C1547" s="17"/>
      <c r="D1547" s="17"/>
      <c r="E1547" s="32"/>
      <c r="F1547" s="19"/>
      <c r="G1547" s="20"/>
      <c r="H1547" s="20"/>
      <c r="I1547" s="21"/>
      <c r="J1547" s="21"/>
      <c r="K1547" s="22"/>
      <c r="L1547" s="23"/>
    </row>
    <row r="1548" hidden="1">
      <c r="A1548" s="6"/>
      <c r="B1548" s="7"/>
      <c r="C1548" s="8"/>
      <c r="D1548" s="8"/>
      <c r="E1548" s="32"/>
      <c r="F1548" s="10"/>
      <c r="G1548" s="11"/>
      <c r="H1548" s="11"/>
      <c r="I1548" s="12"/>
      <c r="J1548" s="12"/>
      <c r="K1548" s="13"/>
      <c r="L1548" s="14"/>
    </row>
    <row r="1549" hidden="1">
      <c r="A1549" s="15"/>
      <c r="B1549" s="16"/>
      <c r="C1549" s="17"/>
      <c r="D1549" s="17"/>
      <c r="E1549" s="32"/>
      <c r="F1549" s="19"/>
      <c r="G1549" s="20"/>
      <c r="H1549" s="20"/>
      <c r="I1549" s="21"/>
      <c r="J1549" s="21"/>
      <c r="K1549" s="22"/>
      <c r="L1549" s="23"/>
    </row>
    <row r="1550" hidden="1">
      <c r="A1550" s="6"/>
      <c r="B1550" s="7"/>
      <c r="C1550" s="8"/>
      <c r="D1550" s="8"/>
      <c r="E1550" s="32"/>
      <c r="F1550" s="10"/>
      <c r="G1550" s="11"/>
      <c r="H1550" s="11"/>
      <c r="I1550" s="12"/>
      <c r="J1550" s="12"/>
      <c r="K1550" s="13"/>
      <c r="L1550" s="14"/>
    </row>
    <row r="1551" hidden="1">
      <c r="A1551" s="15"/>
      <c r="B1551" s="16"/>
      <c r="C1551" s="17"/>
      <c r="D1551" s="17"/>
      <c r="E1551" s="32"/>
      <c r="F1551" s="19"/>
      <c r="G1551" s="20"/>
      <c r="H1551" s="20"/>
      <c r="I1551" s="21"/>
      <c r="J1551" s="21"/>
      <c r="K1551" s="22"/>
      <c r="L1551" s="23"/>
    </row>
    <row r="1552" hidden="1">
      <c r="A1552" s="6"/>
      <c r="B1552" s="7"/>
      <c r="C1552" s="8"/>
      <c r="D1552" s="8"/>
      <c r="E1552" s="32"/>
      <c r="F1552" s="10"/>
      <c r="G1552" s="11"/>
      <c r="H1552" s="11"/>
      <c r="I1552" s="12"/>
      <c r="J1552" s="12"/>
      <c r="K1552" s="13"/>
      <c r="L1552" s="14"/>
    </row>
    <row r="1553" hidden="1">
      <c r="A1553" s="15"/>
      <c r="B1553" s="16"/>
      <c r="C1553" s="17"/>
      <c r="D1553" s="17"/>
      <c r="E1553" s="32"/>
      <c r="F1553" s="19"/>
      <c r="G1553" s="20"/>
      <c r="H1553" s="20"/>
      <c r="I1553" s="21"/>
      <c r="J1553" s="21"/>
      <c r="K1553" s="22"/>
      <c r="L1553" s="23"/>
    </row>
    <row r="1554" hidden="1">
      <c r="A1554" s="6"/>
      <c r="B1554" s="7"/>
      <c r="C1554" s="8"/>
      <c r="D1554" s="8"/>
      <c r="E1554" s="32"/>
      <c r="F1554" s="10"/>
      <c r="G1554" s="11"/>
      <c r="H1554" s="11"/>
      <c r="I1554" s="12"/>
      <c r="J1554" s="12"/>
      <c r="K1554" s="13"/>
      <c r="L1554" s="14"/>
    </row>
    <row r="1555" hidden="1">
      <c r="A1555" s="15"/>
      <c r="B1555" s="16"/>
      <c r="C1555" s="17"/>
      <c r="D1555" s="17"/>
      <c r="E1555" s="32"/>
      <c r="F1555" s="19"/>
      <c r="G1555" s="20"/>
      <c r="H1555" s="20"/>
      <c r="I1555" s="21"/>
      <c r="J1555" s="21"/>
      <c r="K1555" s="22"/>
      <c r="L1555" s="23"/>
    </row>
    <row r="1556" hidden="1">
      <c r="A1556" s="6"/>
      <c r="B1556" s="7"/>
      <c r="C1556" s="8"/>
      <c r="D1556" s="8"/>
      <c r="E1556" s="32"/>
      <c r="F1556" s="10"/>
      <c r="G1556" s="11"/>
      <c r="H1556" s="11"/>
      <c r="I1556" s="12"/>
      <c r="J1556" s="12"/>
      <c r="K1556" s="13"/>
      <c r="L1556" s="14"/>
    </row>
    <row r="1557" hidden="1">
      <c r="A1557" s="15"/>
      <c r="B1557" s="16"/>
      <c r="C1557" s="17"/>
      <c r="D1557" s="17"/>
      <c r="E1557" s="32"/>
      <c r="F1557" s="19"/>
      <c r="G1557" s="20"/>
      <c r="H1557" s="20"/>
      <c r="I1557" s="21"/>
      <c r="J1557" s="21"/>
      <c r="K1557" s="22"/>
      <c r="L1557" s="23"/>
    </row>
    <row r="1558" hidden="1">
      <c r="A1558" s="6"/>
      <c r="B1558" s="7"/>
      <c r="C1558" s="8"/>
      <c r="D1558" s="8"/>
      <c r="E1558" s="32"/>
      <c r="F1558" s="10"/>
      <c r="G1558" s="11"/>
      <c r="H1558" s="11"/>
      <c r="I1558" s="12"/>
      <c r="J1558" s="12"/>
      <c r="K1558" s="13"/>
      <c r="L1558" s="14"/>
    </row>
    <row r="1559" hidden="1">
      <c r="A1559" s="15"/>
      <c r="B1559" s="16"/>
      <c r="C1559" s="17"/>
      <c r="D1559" s="17"/>
      <c r="E1559" s="32"/>
      <c r="F1559" s="19"/>
      <c r="G1559" s="20"/>
      <c r="H1559" s="20"/>
      <c r="I1559" s="21"/>
      <c r="J1559" s="21"/>
      <c r="K1559" s="22"/>
      <c r="L1559" s="23"/>
    </row>
    <row r="1560" hidden="1">
      <c r="A1560" s="6"/>
      <c r="B1560" s="7"/>
      <c r="C1560" s="8"/>
      <c r="D1560" s="8"/>
      <c r="E1560" s="32"/>
      <c r="F1560" s="10"/>
      <c r="G1560" s="11"/>
      <c r="H1560" s="11"/>
      <c r="I1560" s="12"/>
      <c r="J1560" s="12"/>
      <c r="K1560" s="13"/>
      <c r="L1560" s="14"/>
    </row>
    <row r="1561" hidden="1">
      <c r="A1561" s="15"/>
      <c r="B1561" s="16"/>
      <c r="C1561" s="17"/>
      <c r="D1561" s="17"/>
      <c r="E1561" s="32"/>
      <c r="F1561" s="19"/>
      <c r="G1561" s="20"/>
      <c r="H1561" s="20"/>
      <c r="I1561" s="21"/>
      <c r="J1561" s="21"/>
      <c r="K1561" s="22"/>
      <c r="L1561" s="23"/>
    </row>
    <row r="1562" hidden="1">
      <c r="A1562" s="6"/>
      <c r="B1562" s="7"/>
      <c r="C1562" s="8"/>
      <c r="D1562" s="8"/>
      <c r="E1562" s="32"/>
      <c r="F1562" s="10"/>
      <c r="G1562" s="11"/>
      <c r="H1562" s="11"/>
      <c r="I1562" s="12"/>
      <c r="J1562" s="12"/>
      <c r="K1562" s="13"/>
      <c r="L1562" s="14"/>
    </row>
    <row r="1563" hidden="1">
      <c r="A1563" s="15"/>
      <c r="B1563" s="16"/>
      <c r="C1563" s="17"/>
      <c r="D1563" s="17"/>
      <c r="E1563" s="32"/>
      <c r="F1563" s="19"/>
      <c r="G1563" s="20"/>
      <c r="H1563" s="20"/>
      <c r="I1563" s="21"/>
      <c r="J1563" s="21"/>
      <c r="K1563" s="22"/>
      <c r="L1563" s="23"/>
    </row>
    <row r="1564" hidden="1">
      <c r="A1564" s="6"/>
      <c r="B1564" s="7"/>
      <c r="C1564" s="8"/>
      <c r="D1564" s="8"/>
      <c r="E1564" s="32"/>
      <c r="F1564" s="10"/>
      <c r="G1564" s="11"/>
      <c r="H1564" s="11"/>
      <c r="I1564" s="12"/>
      <c r="J1564" s="12"/>
      <c r="K1564" s="13"/>
      <c r="L1564" s="14"/>
    </row>
    <row r="1565" hidden="1">
      <c r="A1565" s="15"/>
      <c r="B1565" s="16"/>
      <c r="C1565" s="17"/>
      <c r="D1565" s="17"/>
      <c r="E1565" s="32"/>
      <c r="F1565" s="19"/>
      <c r="G1565" s="20"/>
      <c r="H1565" s="20"/>
      <c r="I1565" s="21"/>
      <c r="J1565" s="21"/>
      <c r="K1565" s="22"/>
      <c r="L1565" s="23"/>
    </row>
    <row r="1566" hidden="1">
      <c r="A1566" s="6"/>
      <c r="B1566" s="7"/>
      <c r="C1566" s="8"/>
      <c r="D1566" s="8"/>
      <c r="E1566" s="32"/>
      <c r="F1566" s="10"/>
      <c r="G1566" s="11"/>
      <c r="H1566" s="11"/>
      <c r="I1566" s="12"/>
      <c r="J1566" s="12"/>
      <c r="K1566" s="13"/>
      <c r="L1566" s="14"/>
    </row>
    <row r="1567" hidden="1">
      <c r="A1567" s="15"/>
      <c r="B1567" s="16"/>
      <c r="C1567" s="17"/>
      <c r="D1567" s="17"/>
      <c r="E1567" s="32"/>
      <c r="F1567" s="19"/>
      <c r="G1567" s="20"/>
      <c r="H1567" s="20"/>
      <c r="I1567" s="21"/>
      <c r="J1567" s="21"/>
      <c r="K1567" s="22"/>
      <c r="L1567" s="23"/>
    </row>
    <row r="1568" hidden="1">
      <c r="A1568" s="6"/>
      <c r="B1568" s="7"/>
      <c r="C1568" s="8"/>
      <c r="D1568" s="8"/>
      <c r="E1568" s="32"/>
      <c r="F1568" s="10"/>
      <c r="G1568" s="11"/>
      <c r="H1568" s="11"/>
      <c r="I1568" s="12"/>
      <c r="J1568" s="12"/>
      <c r="K1568" s="13"/>
      <c r="L1568" s="14"/>
    </row>
    <row r="1569" hidden="1">
      <c r="A1569" s="15"/>
      <c r="B1569" s="16"/>
      <c r="C1569" s="17"/>
      <c r="D1569" s="17"/>
      <c r="E1569" s="32"/>
      <c r="F1569" s="19"/>
      <c r="G1569" s="20"/>
      <c r="H1569" s="20"/>
      <c r="I1569" s="21"/>
      <c r="J1569" s="21"/>
      <c r="K1569" s="22"/>
      <c r="L1569" s="23"/>
    </row>
    <row r="1570" hidden="1">
      <c r="A1570" s="6"/>
      <c r="B1570" s="7"/>
      <c r="C1570" s="8"/>
      <c r="D1570" s="8"/>
      <c r="E1570" s="32"/>
      <c r="F1570" s="10"/>
      <c r="G1570" s="11"/>
      <c r="H1570" s="11"/>
      <c r="I1570" s="12"/>
      <c r="J1570" s="12"/>
      <c r="K1570" s="13"/>
      <c r="L1570" s="14"/>
    </row>
    <row r="1571" hidden="1">
      <c r="A1571" s="15"/>
      <c r="B1571" s="16"/>
      <c r="C1571" s="17"/>
      <c r="D1571" s="17"/>
      <c r="E1571" s="32"/>
      <c r="F1571" s="19"/>
      <c r="G1571" s="20"/>
      <c r="H1571" s="20"/>
      <c r="I1571" s="21"/>
      <c r="J1571" s="21"/>
      <c r="K1571" s="22"/>
      <c r="L1571" s="23"/>
    </row>
    <row r="1572" hidden="1">
      <c r="A1572" s="6"/>
      <c r="B1572" s="7"/>
      <c r="C1572" s="8"/>
      <c r="D1572" s="8"/>
      <c r="E1572" s="32"/>
      <c r="F1572" s="10"/>
      <c r="G1572" s="11"/>
      <c r="H1572" s="11"/>
      <c r="I1572" s="12"/>
      <c r="J1572" s="12"/>
      <c r="K1572" s="13"/>
      <c r="L1572" s="14"/>
    </row>
    <row r="1573" hidden="1">
      <c r="A1573" s="15"/>
      <c r="B1573" s="16"/>
      <c r="C1573" s="17"/>
      <c r="D1573" s="17"/>
      <c r="E1573" s="32"/>
      <c r="F1573" s="19"/>
      <c r="G1573" s="20"/>
      <c r="H1573" s="20"/>
      <c r="I1573" s="21"/>
      <c r="J1573" s="21"/>
      <c r="K1573" s="22"/>
      <c r="L1573" s="23"/>
    </row>
    <row r="1574" hidden="1">
      <c r="A1574" s="6"/>
      <c r="B1574" s="7"/>
      <c r="C1574" s="8"/>
      <c r="D1574" s="8"/>
      <c r="E1574" s="32"/>
      <c r="F1574" s="10"/>
      <c r="G1574" s="11"/>
      <c r="H1574" s="11"/>
      <c r="I1574" s="12"/>
      <c r="J1574" s="12"/>
      <c r="K1574" s="13"/>
      <c r="L1574" s="14"/>
    </row>
    <row r="1575" hidden="1">
      <c r="A1575" s="15"/>
      <c r="B1575" s="16"/>
      <c r="C1575" s="17"/>
      <c r="D1575" s="17"/>
      <c r="E1575" s="32"/>
      <c r="F1575" s="19"/>
      <c r="G1575" s="20"/>
      <c r="H1575" s="20"/>
      <c r="I1575" s="21"/>
      <c r="J1575" s="21"/>
      <c r="K1575" s="22"/>
      <c r="L1575" s="23"/>
    </row>
    <row r="1576" hidden="1">
      <c r="A1576" s="6"/>
      <c r="B1576" s="7"/>
      <c r="C1576" s="8"/>
      <c r="D1576" s="8"/>
      <c r="E1576" s="32"/>
      <c r="F1576" s="10"/>
      <c r="G1576" s="11"/>
      <c r="H1576" s="11"/>
      <c r="I1576" s="12"/>
      <c r="J1576" s="12"/>
      <c r="K1576" s="13"/>
      <c r="L1576" s="14"/>
    </row>
    <row r="1577" hidden="1">
      <c r="A1577" s="15"/>
      <c r="B1577" s="16"/>
      <c r="C1577" s="17"/>
      <c r="D1577" s="17"/>
      <c r="E1577" s="32"/>
      <c r="F1577" s="19"/>
      <c r="G1577" s="20"/>
      <c r="H1577" s="20"/>
      <c r="I1577" s="21"/>
      <c r="J1577" s="21"/>
      <c r="K1577" s="22"/>
      <c r="L1577" s="23"/>
    </row>
    <row r="1578" hidden="1">
      <c r="A1578" s="6"/>
      <c r="B1578" s="7"/>
      <c r="C1578" s="8"/>
      <c r="D1578" s="8"/>
      <c r="E1578" s="32"/>
      <c r="F1578" s="10"/>
      <c r="G1578" s="11"/>
      <c r="H1578" s="11"/>
      <c r="I1578" s="12"/>
      <c r="J1578" s="12"/>
      <c r="K1578" s="13"/>
      <c r="L1578" s="14"/>
    </row>
    <row r="1579" hidden="1">
      <c r="A1579" s="15"/>
      <c r="B1579" s="16"/>
      <c r="C1579" s="17"/>
      <c r="D1579" s="17"/>
      <c r="E1579" s="32"/>
      <c r="F1579" s="19"/>
      <c r="G1579" s="20"/>
      <c r="H1579" s="20"/>
      <c r="I1579" s="21"/>
      <c r="J1579" s="21"/>
      <c r="K1579" s="22"/>
      <c r="L1579" s="23"/>
    </row>
    <row r="1580" hidden="1">
      <c r="A1580" s="6"/>
      <c r="B1580" s="7"/>
      <c r="C1580" s="8"/>
      <c r="D1580" s="8"/>
      <c r="E1580" s="32"/>
      <c r="F1580" s="10"/>
      <c r="G1580" s="11"/>
      <c r="H1580" s="11"/>
      <c r="I1580" s="12"/>
      <c r="J1580" s="12"/>
      <c r="K1580" s="13"/>
      <c r="L1580" s="14"/>
    </row>
    <row r="1581" hidden="1">
      <c r="A1581" s="15"/>
      <c r="B1581" s="16"/>
      <c r="C1581" s="17"/>
      <c r="D1581" s="17"/>
      <c r="E1581" s="32"/>
      <c r="F1581" s="19"/>
      <c r="G1581" s="20"/>
      <c r="H1581" s="20"/>
      <c r="I1581" s="21"/>
      <c r="J1581" s="21"/>
      <c r="K1581" s="22"/>
      <c r="L1581" s="23"/>
    </row>
    <row r="1582" hidden="1">
      <c r="A1582" s="6"/>
      <c r="B1582" s="7"/>
      <c r="C1582" s="8"/>
      <c r="D1582" s="8"/>
      <c r="E1582" s="32"/>
      <c r="F1582" s="10"/>
      <c r="G1582" s="11"/>
      <c r="H1582" s="11"/>
      <c r="I1582" s="12"/>
      <c r="J1582" s="12"/>
      <c r="K1582" s="13"/>
      <c r="L1582" s="14"/>
    </row>
    <row r="1583" hidden="1">
      <c r="A1583" s="15"/>
      <c r="B1583" s="16"/>
      <c r="C1583" s="17"/>
      <c r="D1583" s="17"/>
      <c r="E1583" s="32"/>
      <c r="F1583" s="19"/>
      <c r="G1583" s="20"/>
      <c r="H1583" s="20"/>
      <c r="I1583" s="21"/>
      <c r="J1583" s="21"/>
      <c r="K1583" s="22"/>
      <c r="L1583" s="23"/>
    </row>
    <row r="1584" hidden="1">
      <c r="A1584" s="6"/>
      <c r="B1584" s="7"/>
      <c r="C1584" s="8"/>
      <c r="D1584" s="8"/>
      <c r="E1584" s="32"/>
      <c r="F1584" s="10"/>
      <c r="G1584" s="11"/>
      <c r="H1584" s="11"/>
      <c r="I1584" s="12"/>
      <c r="J1584" s="12"/>
      <c r="K1584" s="13"/>
      <c r="L1584" s="14"/>
    </row>
    <row r="1585" hidden="1">
      <c r="A1585" s="15"/>
      <c r="B1585" s="16"/>
      <c r="C1585" s="17"/>
      <c r="D1585" s="17"/>
      <c r="E1585" s="32"/>
      <c r="F1585" s="19"/>
      <c r="G1585" s="20"/>
      <c r="H1585" s="20"/>
      <c r="I1585" s="21"/>
      <c r="J1585" s="21"/>
      <c r="K1585" s="22"/>
      <c r="L1585" s="23"/>
    </row>
    <row r="1586" hidden="1">
      <c r="A1586" s="6"/>
      <c r="B1586" s="7"/>
      <c r="C1586" s="8"/>
      <c r="D1586" s="8"/>
      <c r="E1586" s="32"/>
      <c r="F1586" s="10"/>
      <c r="G1586" s="11"/>
      <c r="H1586" s="11"/>
      <c r="I1586" s="12"/>
      <c r="J1586" s="12"/>
      <c r="K1586" s="13"/>
      <c r="L1586" s="14"/>
    </row>
    <row r="1587" hidden="1">
      <c r="A1587" s="15"/>
      <c r="B1587" s="16"/>
      <c r="C1587" s="17"/>
      <c r="D1587" s="17"/>
      <c r="E1587" s="32"/>
      <c r="F1587" s="19"/>
      <c r="G1587" s="20"/>
      <c r="H1587" s="20"/>
      <c r="I1587" s="21"/>
      <c r="J1587" s="21"/>
      <c r="K1587" s="22"/>
      <c r="L1587" s="23"/>
    </row>
    <row r="1588" hidden="1">
      <c r="A1588" s="6"/>
      <c r="B1588" s="7"/>
      <c r="C1588" s="8"/>
      <c r="D1588" s="8"/>
      <c r="E1588" s="32"/>
      <c r="F1588" s="10"/>
      <c r="G1588" s="11"/>
      <c r="H1588" s="11"/>
      <c r="I1588" s="12"/>
      <c r="J1588" s="12"/>
      <c r="K1588" s="13"/>
      <c r="L1588" s="14"/>
    </row>
    <row r="1589" hidden="1">
      <c r="A1589" s="15"/>
      <c r="B1589" s="16"/>
      <c r="C1589" s="17"/>
      <c r="D1589" s="17"/>
      <c r="E1589" s="32"/>
      <c r="F1589" s="19"/>
      <c r="G1589" s="20"/>
      <c r="H1589" s="20"/>
      <c r="I1589" s="21"/>
      <c r="J1589" s="21"/>
      <c r="K1589" s="22"/>
      <c r="L1589" s="23"/>
    </row>
    <row r="1590" hidden="1">
      <c r="A1590" s="6"/>
      <c r="B1590" s="7"/>
      <c r="C1590" s="8"/>
      <c r="D1590" s="8"/>
      <c r="E1590" s="32"/>
      <c r="F1590" s="10"/>
      <c r="G1590" s="11"/>
      <c r="H1590" s="11"/>
      <c r="I1590" s="12"/>
      <c r="J1590" s="12"/>
      <c r="K1590" s="13"/>
      <c r="L1590" s="14"/>
    </row>
    <row r="1591" hidden="1">
      <c r="A1591" s="15"/>
      <c r="B1591" s="16"/>
      <c r="C1591" s="17"/>
      <c r="D1591" s="17"/>
      <c r="E1591" s="32"/>
      <c r="F1591" s="19"/>
      <c r="G1591" s="20"/>
      <c r="H1591" s="20"/>
      <c r="I1591" s="21"/>
      <c r="J1591" s="21"/>
      <c r="K1591" s="22"/>
      <c r="L1591" s="23"/>
    </row>
    <row r="1592" hidden="1">
      <c r="A1592" s="6"/>
      <c r="B1592" s="7"/>
      <c r="C1592" s="8"/>
      <c r="D1592" s="8"/>
      <c r="E1592" s="32"/>
      <c r="F1592" s="10"/>
      <c r="G1592" s="11"/>
      <c r="H1592" s="11"/>
      <c r="I1592" s="12"/>
      <c r="J1592" s="12"/>
      <c r="K1592" s="13"/>
      <c r="L1592" s="14"/>
    </row>
    <row r="1593" hidden="1">
      <c r="A1593" s="15"/>
      <c r="B1593" s="16"/>
      <c r="C1593" s="17"/>
      <c r="D1593" s="17"/>
      <c r="E1593" s="32"/>
      <c r="F1593" s="19"/>
      <c r="G1593" s="20"/>
      <c r="H1593" s="20"/>
      <c r="I1593" s="21"/>
      <c r="J1593" s="21"/>
      <c r="K1593" s="22"/>
      <c r="L1593" s="23"/>
    </row>
    <row r="1594" hidden="1">
      <c r="A1594" s="6"/>
      <c r="B1594" s="7"/>
      <c r="C1594" s="8"/>
      <c r="D1594" s="8"/>
      <c r="E1594" s="32"/>
      <c r="F1594" s="10"/>
      <c r="G1594" s="11"/>
      <c r="H1594" s="11"/>
      <c r="I1594" s="12"/>
      <c r="J1594" s="12"/>
      <c r="K1594" s="13"/>
      <c r="L1594" s="14"/>
    </row>
    <row r="1595" hidden="1">
      <c r="A1595" s="15"/>
      <c r="B1595" s="16"/>
      <c r="C1595" s="17"/>
      <c r="D1595" s="17"/>
      <c r="E1595" s="32"/>
      <c r="F1595" s="19"/>
      <c r="G1595" s="20"/>
      <c r="H1595" s="20"/>
      <c r="I1595" s="21"/>
      <c r="J1595" s="21"/>
      <c r="K1595" s="22"/>
      <c r="L1595" s="23"/>
    </row>
    <row r="1596" hidden="1">
      <c r="A1596" s="6"/>
      <c r="B1596" s="7"/>
      <c r="C1596" s="8"/>
      <c r="D1596" s="8"/>
      <c r="E1596" s="32"/>
      <c r="F1596" s="10"/>
      <c r="G1596" s="11"/>
      <c r="H1596" s="11"/>
      <c r="I1596" s="12"/>
      <c r="J1596" s="12"/>
      <c r="K1596" s="13"/>
      <c r="L1596" s="14"/>
    </row>
    <row r="1597" hidden="1">
      <c r="A1597" s="15"/>
      <c r="B1597" s="16"/>
      <c r="C1597" s="17"/>
      <c r="D1597" s="17"/>
      <c r="E1597" s="32"/>
      <c r="F1597" s="19"/>
      <c r="G1597" s="20"/>
      <c r="H1597" s="20"/>
      <c r="I1597" s="21"/>
      <c r="J1597" s="21"/>
      <c r="K1597" s="22"/>
      <c r="L1597" s="23"/>
    </row>
    <row r="1598" hidden="1">
      <c r="A1598" s="6"/>
      <c r="B1598" s="7"/>
      <c r="C1598" s="8"/>
      <c r="D1598" s="8"/>
      <c r="E1598" s="32"/>
      <c r="F1598" s="10"/>
      <c r="G1598" s="11"/>
      <c r="H1598" s="11"/>
      <c r="I1598" s="12"/>
      <c r="J1598" s="12"/>
      <c r="K1598" s="13"/>
      <c r="L1598" s="14"/>
    </row>
    <row r="1599" hidden="1">
      <c r="A1599" s="15"/>
      <c r="B1599" s="16"/>
      <c r="C1599" s="17"/>
      <c r="D1599" s="17"/>
      <c r="E1599" s="32"/>
      <c r="F1599" s="19"/>
      <c r="G1599" s="20"/>
      <c r="H1599" s="20"/>
      <c r="I1599" s="21"/>
      <c r="J1599" s="21"/>
      <c r="K1599" s="22"/>
      <c r="L1599" s="23"/>
    </row>
    <row r="1600" hidden="1">
      <c r="A1600" s="6"/>
      <c r="B1600" s="7"/>
      <c r="C1600" s="8"/>
      <c r="D1600" s="8"/>
      <c r="E1600" s="32"/>
      <c r="F1600" s="10"/>
      <c r="G1600" s="11"/>
      <c r="H1600" s="11"/>
      <c r="I1600" s="12"/>
      <c r="J1600" s="12"/>
      <c r="K1600" s="13"/>
      <c r="L1600" s="14"/>
    </row>
    <row r="1601" hidden="1">
      <c r="A1601" s="15"/>
      <c r="B1601" s="16"/>
      <c r="C1601" s="17"/>
      <c r="D1601" s="17"/>
      <c r="E1601" s="32"/>
      <c r="F1601" s="19"/>
      <c r="G1601" s="20"/>
      <c r="H1601" s="20"/>
      <c r="I1601" s="21"/>
      <c r="J1601" s="21"/>
      <c r="K1601" s="22"/>
      <c r="L1601" s="23"/>
    </row>
    <row r="1602" hidden="1">
      <c r="A1602" s="6"/>
      <c r="B1602" s="7"/>
      <c r="C1602" s="8"/>
      <c r="D1602" s="8"/>
      <c r="E1602" s="32"/>
      <c r="F1602" s="10"/>
      <c r="G1602" s="11"/>
      <c r="H1602" s="11"/>
      <c r="I1602" s="12"/>
      <c r="J1602" s="12"/>
      <c r="K1602" s="13"/>
      <c r="L1602" s="14"/>
    </row>
    <row r="1603" hidden="1">
      <c r="A1603" s="15"/>
      <c r="B1603" s="16"/>
      <c r="C1603" s="17"/>
      <c r="D1603" s="17"/>
      <c r="E1603" s="32"/>
      <c r="F1603" s="19"/>
      <c r="G1603" s="20"/>
      <c r="H1603" s="20"/>
      <c r="I1603" s="21"/>
      <c r="J1603" s="21"/>
      <c r="K1603" s="22"/>
      <c r="L1603" s="23"/>
    </row>
    <row r="1604" hidden="1">
      <c r="A1604" s="6"/>
      <c r="B1604" s="7"/>
      <c r="C1604" s="8"/>
      <c r="D1604" s="8"/>
      <c r="E1604" s="32"/>
      <c r="F1604" s="10"/>
      <c r="G1604" s="11"/>
      <c r="H1604" s="11"/>
      <c r="I1604" s="12"/>
      <c r="J1604" s="12"/>
      <c r="K1604" s="13"/>
      <c r="L1604" s="14"/>
    </row>
    <row r="1605" hidden="1">
      <c r="A1605" s="15"/>
      <c r="B1605" s="16"/>
      <c r="C1605" s="17"/>
      <c r="D1605" s="17"/>
      <c r="E1605" s="32"/>
      <c r="F1605" s="19"/>
      <c r="G1605" s="20"/>
      <c r="H1605" s="20"/>
      <c r="I1605" s="21"/>
      <c r="J1605" s="21"/>
      <c r="K1605" s="22"/>
      <c r="L1605" s="23"/>
    </row>
    <row r="1606" hidden="1">
      <c r="A1606" s="6"/>
      <c r="B1606" s="7"/>
      <c r="C1606" s="8"/>
      <c r="D1606" s="8"/>
      <c r="E1606" s="32"/>
      <c r="F1606" s="10"/>
      <c r="G1606" s="11"/>
      <c r="H1606" s="11"/>
      <c r="I1606" s="12"/>
      <c r="J1606" s="12"/>
      <c r="K1606" s="13"/>
      <c r="L1606" s="14"/>
    </row>
    <row r="1607" hidden="1">
      <c r="A1607" s="15"/>
      <c r="B1607" s="16"/>
      <c r="C1607" s="17"/>
      <c r="D1607" s="17"/>
      <c r="E1607" s="32"/>
      <c r="F1607" s="19"/>
      <c r="G1607" s="20"/>
      <c r="H1607" s="20"/>
      <c r="I1607" s="21"/>
      <c r="J1607" s="21"/>
      <c r="K1607" s="22"/>
      <c r="L1607" s="23"/>
    </row>
    <row r="1608" hidden="1">
      <c r="A1608" s="6"/>
      <c r="B1608" s="7"/>
      <c r="C1608" s="8"/>
      <c r="D1608" s="8"/>
      <c r="E1608" s="32"/>
      <c r="F1608" s="10"/>
      <c r="G1608" s="11"/>
      <c r="H1608" s="11"/>
      <c r="I1608" s="12"/>
      <c r="J1608" s="12"/>
      <c r="K1608" s="13"/>
      <c r="L1608" s="14"/>
    </row>
    <row r="1609" hidden="1">
      <c r="A1609" s="15"/>
      <c r="B1609" s="16"/>
      <c r="C1609" s="17"/>
      <c r="D1609" s="17"/>
      <c r="E1609" s="32"/>
      <c r="F1609" s="19"/>
      <c r="G1609" s="20"/>
      <c r="H1609" s="20"/>
      <c r="I1609" s="21"/>
      <c r="J1609" s="21"/>
      <c r="K1609" s="22"/>
      <c r="L1609" s="23"/>
    </row>
    <row r="1610" hidden="1">
      <c r="A1610" s="6"/>
      <c r="B1610" s="7"/>
      <c r="C1610" s="8"/>
      <c r="D1610" s="8"/>
      <c r="E1610" s="32"/>
      <c r="F1610" s="10"/>
      <c r="G1610" s="11"/>
      <c r="H1610" s="11"/>
      <c r="I1610" s="12"/>
      <c r="J1610" s="12"/>
      <c r="K1610" s="13"/>
      <c r="L1610" s="14"/>
    </row>
    <row r="1611" hidden="1">
      <c r="A1611" s="15"/>
      <c r="B1611" s="16"/>
      <c r="C1611" s="17"/>
      <c r="D1611" s="17"/>
      <c r="E1611" s="32"/>
      <c r="F1611" s="19"/>
      <c r="G1611" s="20"/>
      <c r="H1611" s="20"/>
      <c r="I1611" s="21"/>
      <c r="J1611" s="21"/>
      <c r="K1611" s="22"/>
      <c r="L1611" s="23"/>
    </row>
    <row r="1612" hidden="1">
      <c r="A1612" s="6"/>
      <c r="B1612" s="7"/>
      <c r="C1612" s="8"/>
      <c r="D1612" s="8"/>
      <c r="E1612" s="32"/>
      <c r="F1612" s="10"/>
      <c r="G1612" s="11"/>
      <c r="H1612" s="11"/>
      <c r="I1612" s="12"/>
      <c r="J1612" s="12"/>
      <c r="K1612" s="13"/>
      <c r="L1612" s="14"/>
    </row>
    <row r="1613" hidden="1">
      <c r="A1613" s="15"/>
      <c r="B1613" s="16"/>
      <c r="C1613" s="17"/>
      <c r="D1613" s="17"/>
      <c r="E1613" s="32"/>
      <c r="F1613" s="19"/>
      <c r="G1613" s="20"/>
      <c r="H1613" s="20"/>
      <c r="I1613" s="21"/>
      <c r="J1613" s="21"/>
      <c r="K1613" s="22"/>
      <c r="L1613" s="23"/>
    </row>
    <row r="1614" hidden="1">
      <c r="A1614" s="6"/>
      <c r="B1614" s="7"/>
      <c r="C1614" s="8"/>
      <c r="D1614" s="8"/>
      <c r="E1614" s="32"/>
      <c r="F1614" s="10"/>
      <c r="G1614" s="11"/>
      <c r="H1614" s="11"/>
      <c r="I1614" s="12"/>
      <c r="J1614" s="12"/>
      <c r="K1614" s="13"/>
      <c r="L1614" s="14"/>
    </row>
    <row r="1615" hidden="1">
      <c r="A1615" s="15"/>
      <c r="B1615" s="16"/>
      <c r="C1615" s="17"/>
      <c r="D1615" s="17"/>
      <c r="E1615" s="32"/>
      <c r="F1615" s="19"/>
      <c r="G1615" s="20"/>
      <c r="H1615" s="20"/>
      <c r="I1615" s="21"/>
      <c r="J1615" s="21"/>
      <c r="K1615" s="22"/>
      <c r="L1615" s="23"/>
    </row>
    <row r="1616" hidden="1">
      <c r="A1616" s="6"/>
      <c r="B1616" s="7"/>
      <c r="C1616" s="8"/>
      <c r="D1616" s="8"/>
      <c r="E1616" s="32"/>
      <c r="F1616" s="10"/>
      <c r="G1616" s="11"/>
      <c r="H1616" s="11"/>
      <c r="I1616" s="12"/>
      <c r="J1616" s="12"/>
      <c r="K1616" s="13"/>
      <c r="L1616" s="14"/>
    </row>
    <row r="1617" hidden="1">
      <c r="A1617" s="15"/>
      <c r="B1617" s="16"/>
      <c r="C1617" s="17"/>
      <c r="D1617" s="17"/>
      <c r="E1617" s="32"/>
      <c r="F1617" s="19"/>
      <c r="G1617" s="20"/>
      <c r="H1617" s="20"/>
      <c r="I1617" s="21"/>
      <c r="J1617" s="21"/>
      <c r="K1617" s="22"/>
      <c r="L1617" s="23"/>
    </row>
    <row r="1618" hidden="1">
      <c r="A1618" s="6"/>
      <c r="B1618" s="7"/>
      <c r="C1618" s="8"/>
      <c r="D1618" s="8"/>
      <c r="E1618" s="32"/>
      <c r="F1618" s="10"/>
      <c r="G1618" s="11"/>
      <c r="H1618" s="11"/>
      <c r="I1618" s="12"/>
      <c r="J1618" s="12"/>
      <c r="K1618" s="13"/>
      <c r="L1618" s="14"/>
    </row>
    <row r="1619" hidden="1">
      <c r="A1619" s="15"/>
      <c r="B1619" s="16"/>
      <c r="C1619" s="17"/>
      <c r="D1619" s="17"/>
      <c r="E1619" s="32"/>
      <c r="F1619" s="19"/>
      <c r="G1619" s="20"/>
      <c r="H1619" s="20"/>
      <c r="I1619" s="21"/>
      <c r="J1619" s="21"/>
      <c r="K1619" s="22"/>
      <c r="L1619" s="23"/>
    </row>
    <row r="1620" hidden="1">
      <c r="A1620" s="6"/>
      <c r="B1620" s="7"/>
      <c r="C1620" s="8"/>
      <c r="D1620" s="8"/>
      <c r="E1620" s="32"/>
      <c r="F1620" s="10"/>
      <c r="G1620" s="11"/>
      <c r="H1620" s="11"/>
      <c r="I1620" s="12"/>
      <c r="J1620" s="12"/>
      <c r="K1620" s="13"/>
      <c r="L1620" s="14"/>
    </row>
    <row r="1621" hidden="1">
      <c r="A1621" s="15"/>
      <c r="B1621" s="16"/>
      <c r="C1621" s="17"/>
      <c r="D1621" s="17"/>
      <c r="E1621" s="32"/>
      <c r="F1621" s="19"/>
      <c r="G1621" s="20"/>
      <c r="H1621" s="20"/>
      <c r="I1621" s="21"/>
      <c r="J1621" s="21"/>
      <c r="K1621" s="22"/>
      <c r="L1621" s="23"/>
    </row>
    <row r="1622" hidden="1">
      <c r="A1622" s="6"/>
      <c r="B1622" s="7"/>
      <c r="C1622" s="8"/>
      <c r="D1622" s="8"/>
      <c r="E1622" s="32"/>
      <c r="F1622" s="10"/>
      <c r="G1622" s="11"/>
      <c r="H1622" s="11"/>
      <c r="I1622" s="12"/>
      <c r="J1622" s="12"/>
      <c r="K1622" s="13"/>
      <c r="L1622" s="14"/>
    </row>
    <row r="1623" hidden="1">
      <c r="A1623" s="15"/>
      <c r="B1623" s="16"/>
      <c r="C1623" s="17"/>
      <c r="D1623" s="17"/>
      <c r="E1623" s="32"/>
      <c r="F1623" s="19"/>
      <c r="G1623" s="20"/>
      <c r="H1623" s="20"/>
      <c r="I1623" s="21"/>
      <c r="J1623" s="21"/>
      <c r="K1623" s="22"/>
      <c r="L1623" s="23"/>
    </row>
    <row r="1624" hidden="1">
      <c r="A1624" s="6"/>
      <c r="B1624" s="7"/>
      <c r="C1624" s="8"/>
      <c r="D1624" s="8"/>
      <c r="E1624" s="32"/>
      <c r="F1624" s="10"/>
      <c r="G1624" s="11"/>
      <c r="H1624" s="11"/>
      <c r="I1624" s="12"/>
      <c r="J1624" s="12"/>
      <c r="K1624" s="13"/>
      <c r="L1624" s="14"/>
    </row>
    <row r="1625" hidden="1">
      <c r="A1625" s="15"/>
      <c r="B1625" s="16"/>
      <c r="C1625" s="17"/>
      <c r="D1625" s="17"/>
      <c r="E1625" s="32"/>
      <c r="F1625" s="19"/>
      <c r="G1625" s="20"/>
      <c r="H1625" s="20"/>
      <c r="I1625" s="21"/>
      <c r="J1625" s="21"/>
      <c r="K1625" s="22"/>
      <c r="L1625" s="23"/>
    </row>
    <row r="1626" hidden="1">
      <c r="A1626" s="6"/>
      <c r="B1626" s="7"/>
      <c r="C1626" s="8"/>
      <c r="D1626" s="8"/>
      <c r="E1626" s="32"/>
      <c r="F1626" s="10"/>
      <c r="G1626" s="11"/>
      <c r="H1626" s="11"/>
      <c r="I1626" s="12"/>
      <c r="J1626" s="12"/>
      <c r="K1626" s="13"/>
      <c r="L1626" s="14"/>
    </row>
    <row r="1627" hidden="1">
      <c r="A1627" s="15"/>
      <c r="B1627" s="16"/>
      <c r="C1627" s="17"/>
      <c r="D1627" s="17"/>
      <c r="E1627" s="32"/>
      <c r="F1627" s="19"/>
      <c r="G1627" s="20"/>
      <c r="H1627" s="20"/>
      <c r="I1627" s="21"/>
      <c r="J1627" s="21"/>
      <c r="K1627" s="22"/>
      <c r="L1627" s="23"/>
    </row>
    <row r="1628" hidden="1">
      <c r="A1628" s="6"/>
      <c r="B1628" s="7"/>
      <c r="C1628" s="8"/>
      <c r="D1628" s="8"/>
      <c r="E1628" s="32"/>
      <c r="F1628" s="10"/>
      <c r="G1628" s="11"/>
      <c r="H1628" s="11"/>
      <c r="I1628" s="12"/>
      <c r="J1628" s="12"/>
      <c r="K1628" s="13"/>
      <c r="L1628" s="14"/>
    </row>
    <row r="1629" hidden="1">
      <c r="A1629" s="15"/>
      <c r="B1629" s="16"/>
      <c r="C1629" s="17"/>
      <c r="D1629" s="17"/>
      <c r="E1629" s="32"/>
      <c r="F1629" s="19"/>
      <c r="G1629" s="20"/>
      <c r="H1629" s="20"/>
      <c r="I1629" s="21"/>
      <c r="J1629" s="21"/>
      <c r="K1629" s="22"/>
      <c r="L1629" s="23"/>
    </row>
    <row r="1630" hidden="1">
      <c r="A1630" s="6"/>
      <c r="B1630" s="7"/>
      <c r="C1630" s="8"/>
      <c r="D1630" s="8"/>
      <c r="E1630" s="32"/>
      <c r="F1630" s="10"/>
      <c r="G1630" s="11"/>
      <c r="H1630" s="11"/>
      <c r="I1630" s="12"/>
      <c r="J1630" s="12"/>
      <c r="K1630" s="13"/>
      <c r="L1630" s="14"/>
    </row>
    <row r="1631" hidden="1">
      <c r="A1631" s="15"/>
      <c r="B1631" s="16"/>
      <c r="C1631" s="17"/>
      <c r="D1631" s="17"/>
      <c r="E1631" s="32"/>
      <c r="F1631" s="19"/>
      <c r="G1631" s="20"/>
      <c r="H1631" s="20"/>
      <c r="I1631" s="21"/>
      <c r="J1631" s="21"/>
      <c r="K1631" s="22"/>
      <c r="L1631" s="23"/>
    </row>
    <row r="1632" hidden="1">
      <c r="A1632" s="6"/>
      <c r="B1632" s="7"/>
      <c r="C1632" s="8"/>
      <c r="D1632" s="8"/>
      <c r="E1632" s="32"/>
      <c r="F1632" s="10"/>
      <c r="G1632" s="11"/>
      <c r="H1632" s="11"/>
      <c r="I1632" s="12"/>
      <c r="J1632" s="12"/>
      <c r="K1632" s="13"/>
      <c r="L1632" s="14"/>
    </row>
    <row r="1633" hidden="1">
      <c r="A1633" s="15"/>
      <c r="B1633" s="16"/>
      <c r="C1633" s="17"/>
      <c r="D1633" s="17"/>
      <c r="E1633" s="32"/>
      <c r="F1633" s="19"/>
      <c r="G1633" s="20"/>
      <c r="H1633" s="20"/>
      <c r="I1633" s="21"/>
      <c r="J1633" s="21"/>
      <c r="K1633" s="22"/>
      <c r="L1633" s="23"/>
    </row>
    <row r="1634" hidden="1">
      <c r="A1634" s="6"/>
      <c r="B1634" s="7"/>
      <c r="C1634" s="8"/>
      <c r="D1634" s="8"/>
      <c r="E1634" s="32"/>
      <c r="F1634" s="10"/>
      <c r="G1634" s="11"/>
      <c r="H1634" s="11"/>
      <c r="I1634" s="12"/>
      <c r="J1634" s="12"/>
      <c r="K1634" s="13"/>
      <c r="L1634" s="14"/>
    </row>
    <row r="1635" hidden="1">
      <c r="A1635" s="15"/>
      <c r="B1635" s="16"/>
      <c r="C1635" s="17"/>
      <c r="D1635" s="17"/>
      <c r="E1635" s="32"/>
      <c r="F1635" s="19"/>
      <c r="G1635" s="20"/>
      <c r="H1635" s="20"/>
      <c r="I1635" s="21"/>
      <c r="J1635" s="21"/>
      <c r="K1635" s="22"/>
      <c r="L1635" s="23"/>
    </row>
    <row r="1636" hidden="1">
      <c r="A1636" s="6"/>
      <c r="B1636" s="7"/>
      <c r="C1636" s="8"/>
      <c r="D1636" s="8"/>
      <c r="E1636" s="32"/>
      <c r="F1636" s="10"/>
      <c r="G1636" s="11"/>
      <c r="H1636" s="11"/>
      <c r="I1636" s="12"/>
      <c r="J1636" s="12"/>
      <c r="K1636" s="13"/>
      <c r="L1636" s="14"/>
    </row>
    <row r="1637" hidden="1">
      <c r="A1637" s="15"/>
      <c r="B1637" s="16"/>
      <c r="C1637" s="17"/>
      <c r="D1637" s="17"/>
      <c r="E1637" s="32"/>
      <c r="F1637" s="19"/>
      <c r="G1637" s="20"/>
      <c r="H1637" s="20"/>
      <c r="I1637" s="21"/>
      <c r="J1637" s="21"/>
      <c r="K1637" s="22"/>
      <c r="L1637" s="23"/>
    </row>
    <row r="1638" hidden="1">
      <c r="A1638" s="6"/>
      <c r="B1638" s="7"/>
      <c r="C1638" s="8"/>
      <c r="D1638" s="8"/>
      <c r="E1638" s="32"/>
      <c r="F1638" s="10"/>
      <c r="G1638" s="11"/>
      <c r="H1638" s="11"/>
      <c r="I1638" s="12"/>
      <c r="J1638" s="12"/>
      <c r="K1638" s="13"/>
      <c r="L1638" s="14"/>
    </row>
    <row r="1639" hidden="1">
      <c r="A1639" s="15"/>
      <c r="B1639" s="16"/>
      <c r="C1639" s="17"/>
      <c r="D1639" s="17"/>
      <c r="E1639" s="32"/>
      <c r="F1639" s="19"/>
      <c r="G1639" s="20"/>
      <c r="H1639" s="20"/>
      <c r="I1639" s="21"/>
      <c r="J1639" s="21"/>
      <c r="K1639" s="22"/>
      <c r="L1639" s="23"/>
    </row>
    <row r="1640" hidden="1">
      <c r="A1640" s="6"/>
      <c r="B1640" s="7"/>
      <c r="C1640" s="8"/>
      <c r="D1640" s="8"/>
      <c r="E1640" s="32"/>
      <c r="F1640" s="10"/>
      <c r="G1640" s="11"/>
      <c r="H1640" s="11"/>
      <c r="I1640" s="12"/>
      <c r="J1640" s="12"/>
      <c r="K1640" s="13"/>
      <c r="L1640" s="14"/>
    </row>
    <row r="1641" hidden="1">
      <c r="A1641" s="15"/>
      <c r="B1641" s="16"/>
      <c r="C1641" s="17"/>
      <c r="D1641" s="17"/>
      <c r="E1641" s="32"/>
      <c r="F1641" s="19"/>
      <c r="G1641" s="20"/>
      <c r="H1641" s="20"/>
      <c r="I1641" s="21"/>
      <c r="J1641" s="21"/>
      <c r="K1641" s="22"/>
      <c r="L1641" s="23"/>
    </row>
    <row r="1642" hidden="1">
      <c r="A1642" s="6"/>
      <c r="B1642" s="7"/>
      <c r="C1642" s="8"/>
      <c r="D1642" s="8"/>
      <c r="E1642" s="32"/>
      <c r="F1642" s="10"/>
      <c r="G1642" s="11"/>
      <c r="H1642" s="11"/>
      <c r="I1642" s="12"/>
      <c r="J1642" s="12"/>
      <c r="K1642" s="13"/>
      <c r="L1642" s="14"/>
    </row>
    <row r="1643" hidden="1">
      <c r="A1643" s="15"/>
      <c r="B1643" s="16"/>
      <c r="C1643" s="17"/>
      <c r="D1643" s="17"/>
      <c r="E1643" s="32"/>
      <c r="F1643" s="19"/>
      <c r="G1643" s="20"/>
      <c r="H1643" s="20"/>
      <c r="I1643" s="21"/>
      <c r="J1643" s="21"/>
      <c r="K1643" s="22"/>
      <c r="L1643" s="23"/>
    </row>
    <row r="1644" hidden="1">
      <c r="A1644" s="6"/>
      <c r="B1644" s="7"/>
      <c r="C1644" s="8"/>
      <c r="D1644" s="8"/>
      <c r="E1644" s="32"/>
      <c r="F1644" s="10"/>
      <c r="G1644" s="11"/>
      <c r="H1644" s="11"/>
      <c r="I1644" s="12"/>
      <c r="J1644" s="12"/>
      <c r="K1644" s="13"/>
      <c r="L1644" s="14"/>
    </row>
    <row r="1645" hidden="1">
      <c r="A1645" s="15"/>
      <c r="B1645" s="16"/>
      <c r="C1645" s="17"/>
      <c r="D1645" s="17"/>
      <c r="E1645" s="32"/>
      <c r="F1645" s="19"/>
      <c r="G1645" s="20"/>
      <c r="H1645" s="20"/>
      <c r="I1645" s="21"/>
      <c r="J1645" s="21"/>
      <c r="K1645" s="22"/>
      <c r="L1645" s="23"/>
    </row>
    <row r="1646" hidden="1">
      <c r="A1646" s="6"/>
      <c r="B1646" s="7"/>
      <c r="C1646" s="8"/>
      <c r="D1646" s="8"/>
      <c r="E1646" s="32"/>
      <c r="F1646" s="10"/>
      <c r="G1646" s="11"/>
      <c r="H1646" s="11"/>
      <c r="I1646" s="12"/>
      <c r="J1646" s="12"/>
      <c r="K1646" s="13"/>
      <c r="L1646" s="14"/>
    </row>
    <row r="1647" hidden="1">
      <c r="A1647" s="15"/>
      <c r="B1647" s="16"/>
      <c r="C1647" s="17"/>
      <c r="D1647" s="17"/>
      <c r="E1647" s="32"/>
      <c r="F1647" s="19"/>
      <c r="G1647" s="20"/>
      <c r="H1647" s="20"/>
      <c r="I1647" s="21"/>
      <c r="J1647" s="21"/>
      <c r="K1647" s="22"/>
      <c r="L1647" s="23"/>
    </row>
    <row r="1648" hidden="1">
      <c r="A1648" s="6"/>
      <c r="B1648" s="7"/>
      <c r="C1648" s="8"/>
      <c r="D1648" s="8"/>
      <c r="E1648" s="32"/>
      <c r="F1648" s="10"/>
      <c r="G1648" s="11"/>
      <c r="H1648" s="11"/>
      <c r="I1648" s="12"/>
      <c r="J1648" s="12"/>
      <c r="K1648" s="13"/>
      <c r="L1648" s="14"/>
    </row>
    <row r="1649" hidden="1">
      <c r="A1649" s="15"/>
      <c r="B1649" s="16"/>
      <c r="C1649" s="17"/>
      <c r="D1649" s="17"/>
      <c r="E1649" s="32"/>
      <c r="F1649" s="19"/>
      <c r="G1649" s="20"/>
      <c r="H1649" s="20"/>
      <c r="I1649" s="21"/>
      <c r="J1649" s="21"/>
      <c r="K1649" s="22"/>
      <c r="L1649" s="23"/>
    </row>
    <row r="1650" hidden="1">
      <c r="A1650" s="6"/>
      <c r="B1650" s="7"/>
      <c r="C1650" s="8"/>
      <c r="D1650" s="8"/>
      <c r="E1650" s="32"/>
      <c r="F1650" s="10"/>
      <c r="G1650" s="11"/>
      <c r="H1650" s="11"/>
      <c r="I1650" s="12"/>
      <c r="J1650" s="12"/>
      <c r="K1650" s="13"/>
      <c r="L1650" s="14"/>
    </row>
    <row r="1651" hidden="1">
      <c r="A1651" s="15"/>
      <c r="B1651" s="16"/>
      <c r="C1651" s="17"/>
      <c r="D1651" s="17"/>
      <c r="E1651" s="32"/>
      <c r="F1651" s="19"/>
      <c r="G1651" s="20"/>
      <c r="H1651" s="20"/>
      <c r="I1651" s="21"/>
      <c r="J1651" s="21"/>
      <c r="K1651" s="22"/>
      <c r="L1651" s="23"/>
    </row>
    <row r="1652" hidden="1">
      <c r="A1652" s="6"/>
      <c r="B1652" s="7"/>
      <c r="C1652" s="8"/>
      <c r="D1652" s="8"/>
      <c r="E1652" s="32"/>
      <c r="F1652" s="10"/>
      <c r="G1652" s="11"/>
      <c r="H1652" s="11"/>
      <c r="I1652" s="12"/>
      <c r="J1652" s="12"/>
      <c r="K1652" s="13"/>
      <c r="L1652" s="14"/>
    </row>
    <row r="1653" hidden="1">
      <c r="A1653" s="15"/>
      <c r="B1653" s="16"/>
      <c r="C1653" s="17"/>
      <c r="D1653" s="17"/>
      <c r="E1653" s="32"/>
      <c r="F1653" s="19"/>
      <c r="G1653" s="20"/>
      <c r="H1653" s="20"/>
      <c r="I1653" s="21"/>
      <c r="J1653" s="21"/>
      <c r="K1653" s="22"/>
      <c r="L1653" s="23"/>
    </row>
    <row r="1654" hidden="1">
      <c r="A1654" s="6"/>
      <c r="B1654" s="7"/>
      <c r="C1654" s="8"/>
      <c r="D1654" s="8"/>
      <c r="E1654" s="32"/>
      <c r="F1654" s="10"/>
      <c r="G1654" s="11"/>
      <c r="H1654" s="11"/>
      <c r="I1654" s="12"/>
      <c r="J1654" s="12"/>
      <c r="K1654" s="13"/>
      <c r="L1654" s="14"/>
    </row>
    <row r="1655" hidden="1">
      <c r="A1655" s="15"/>
      <c r="B1655" s="16"/>
      <c r="C1655" s="17"/>
      <c r="D1655" s="17"/>
      <c r="E1655" s="32"/>
      <c r="F1655" s="19"/>
      <c r="G1655" s="20"/>
      <c r="H1655" s="20"/>
      <c r="I1655" s="21"/>
      <c r="J1655" s="21"/>
      <c r="K1655" s="22"/>
      <c r="L1655" s="23"/>
    </row>
    <row r="1656" hidden="1">
      <c r="A1656" s="6"/>
      <c r="B1656" s="7"/>
      <c r="C1656" s="8"/>
      <c r="D1656" s="8"/>
      <c r="E1656" s="32"/>
      <c r="F1656" s="10"/>
      <c r="G1656" s="11"/>
      <c r="H1656" s="11"/>
      <c r="I1656" s="12"/>
      <c r="J1656" s="12"/>
      <c r="K1656" s="13"/>
      <c r="L1656" s="14"/>
    </row>
    <row r="1657" hidden="1">
      <c r="A1657" s="15"/>
      <c r="B1657" s="16"/>
      <c r="C1657" s="17"/>
      <c r="D1657" s="17"/>
      <c r="E1657" s="32"/>
      <c r="F1657" s="19"/>
      <c r="G1657" s="20"/>
      <c r="H1657" s="20"/>
      <c r="I1657" s="21"/>
      <c r="J1657" s="21"/>
      <c r="K1657" s="22"/>
      <c r="L1657" s="23"/>
    </row>
    <row r="1658" hidden="1">
      <c r="A1658" s="6"/>
      <c r="B1658" s="7"/>
      <c r="C1658" s="8"/>
      <c r="D1658" s="8"/>
      <c r="E1658" s="32"/>
      <c r="F1658" s="10"/>
      <c r="G1658" s="11"/>
      <c r="H1658" s="11"/>
      <c r="I1658" s="12"/>
      <c r="J1658" s="12"/>
      <c r="K1658" s="13"/>
      <c r="L1658" s="14"/>
    </row>
    <row r="1659" hidden="1">
      <c r="A1659" s="15"/>
      <c r="B1659" s="16"/>
      <c r="C1659" s="17"/>
      <c r="D1659" s="17"/>
      <c r="E1659" s="32"/>
      <c r="F1659" s="19"/>
      <c r="G1659" s="20"/>
      <c r="H1659" s="20"/>
      <c r="I1659" s="21"/>
      <c r="J1659" s="21"/>
      <c r="K1659" s="22"/>
      <c r="L1659" s="23"/>
    </row>
    <row r="1660" hidden="1">
      <c r="A1660" s="6"/>
      <c r="B1660" s="7"/>
      <c r="C1660" s="8"/>
      <c r="D1660" s="8"/>
      <c r="E1660" s="32"/>
      <c r="F1660" s="10"/>
      <c r="G1660" s="11"/>
      <c r="H1660" s="11"/>
      <c r="I1660" s="12"/>
      <c r="J1660" s="12"/>
      <c r="K1660" s="13"/>
      <c r="L1660" s="14"/>
    </row>
    <row r="1661" hidden="1">
      <c r="A1661" s="15"/>
      <c r="B1661" s="16"/>
      <c r="C1661" s="17"/>
      <c r="D1661" s="17"/>
      <c r="E1661" s="32"/>
      <c r="F1661" s="19"/>
      <c r="G1661" s="20"/>
      <c r="H1661" s="20"/>
      <c r="I1661" s="21"/>
      <c r="J1661" s="21"/>
      <c r="K1661" s="22"/>
      <c r="L1661" s="23"/>
    </row>
    <row r="1662" hidden="1">
      <c r="A1662" s="6"/>
      <c r="B1662" s="7"/>
      <c r="C1662" s="8"/>
      <c r="D1662" s="8"/>
      <c r="E1662" s="32"/>
      <c r="F1662" s="10"/>
      <c r="G1662" s="11"/>
      <c r="H1662" s="11"/>
      <c r="I1662" s="12"/>
      <c r="J1662" s="12"/>
      <c r="K1662" s="13"/>
      <c r="L1662" s="14"/>
    </row>
    <row r="1663" hidden="1">
      <c r="A1663" s="15"/>
      <c r="B1663" s="16"/>
      <c r="C1663" s="17"/>
      <c r="D1663" s="17"/>
      <c r="E1663" s="32"/>
      <c r="F1663" s="19"/>
      <c r="G1663" s="20"/>
      <c r="H1663" s="20"/>
      <c r="I1663" s="21"/>
      <c r="J1663" s="21"/>
      <c r="K1663" s="22"/>
      <c r="L1663" s="23"/>
    </row>
    <row r="1664" hidden="1">
      <c r="A1664" s="6"/>
      <c r="B1664" s="7"/>
      <c r="C1664" s="8"/>
      <c r="D1664" s="8"/>
      <c r="E1664" s="32"/>
      <c r="F1664" s="10"/>
      <c r="G1664" s="11"/>
      <c r="H1664" s="11"/>
      <c r="I1664" s="12"/>
      <c r="J1664" s="12"/>
      <c r="K1664" s="13"/>
      <c r="L1664" s="14"/>
    </row>
    <row r="1665" hidden="1">
      <c r="A1665" s="15"/>
      <c r="B1665" s="16"/>
      <c r="C1665" s="17"/>
      <c r="D1665" s="17"/>
      <c r="E1665" s="32"/>
      <c r="F1665" s="19"/>
      <c r="G1665" s="20"/>
      <c r="H1665" s="20"/>
      <c r="I1665" s="21"/>
      <c r="J1665" s="21"/>
      <c r="K1665" s="22"/>
      <c r="L1665" s="23"/>
    </row>
    <row r="1666" hidden="1">
      <c r="A1666" s="6"/>
      <c r="B1666" s="7"/>
      <c r="C1666" s="8"/>
      <c r="D1666" s="8"/>
      <c r="E1666" s="32"/>
      <c r="F1666" s="10"/>
      <c r="G1666" s="11"/>
      <c r="H1666" s="11"/>
      <c r="I1666" s="12"/>
      <c r="J1666" s="12"/>
      <c r="K1666" s="13"/>
      <c r="L1666" s="14"/>
    </row>
    <row r="1667" hidden="1">
      <c r="A1667" s="15"/>
      <c r="B1667" s="16"/>
      <c r="C1667" s="17"/>
      <c r="D1667" s="17"/>
      <c r="E1667" s="32"/>
      <c r="F1667" s="19"/>
      <c r="G1667" s="20"/>
      <c r="H1667" s="20"/>
      <c r="I1667" s="21"/>
      <c r="J1667" s="21"/>
      <c r="K1667" s="22"/>
      <c r="L1667" s="23"/>
    </row>
    <row r="1668" hidden="1">
      <c r="A1668" s="6"/>
      <c r="B1668" s="7"/>
      <c r="C1668" s="8"/>
      <c r="D1668" s="8"/>
      <c r="E1668" s="32"/>
      <c r="F1668" s="10"/>
      <c r="G1668" s="11"/>
      <c r="H1668" s="11"/>
      <c r="I1668" s="12"/>
      <c r="J1668" s="12"/>
      <c r="K1668" s="13"/>
      <c r="L1668" s="14"/>
    </row>
    <row r="1669" hidden="1">
      <c r="A1669" s="15"/>
      <c r="B1669" s="16"/>
      <c r="C1669" s="17"/>
      <c r="D1669" s="17"/>
      <c r="E1669" s="32"/>
      <c r="F1669" s="19"/>
      <c r="G1669" s="20"/>
      <c r="H1669" s="20"/>
      <c r="I1669" s="21"/>
      <c r="J1669" s="21"/>
      <c r="K1669" s="22"/>
      <c r="L1669" s="23"/>
    </row>
    <row r="1670" hidden="1">
      <c r="A1670" s="6"/>
      <c r="B1670" s="7"/>
      <c r="C1670" s="8"/>
      <c r="D1670" s="8"/>
      <c r="E1670" s="32"/>
      <c r="F1670" s="10"/>
      <c r="G1670" s="11"/>
      <c r="H1670" s="11"/>
      <c r="I1670" s="12"/>
      <c r="J1670" s="12"/>
      <c r="K1670" s="13"/>
      <c r="L1670" s="14"/>
    </row>
    <row r="1671" hidden="1">
      <c r="A1671" s="15"/>
      <c r="B1671" s="16"/>
      <c r="C1671" s="17"/>
      <c r="D1671" s="17"/>
      <c r="E1671" s="32"/>
      <c r="F1671" s="19"/>
      <c r="G1671" s="20"/>
      <c r="H1671" s="20"/>
      <c r="I1671" s="21"/>
      <c r="J1671" s="21"/>
      <c r="K1671" s="22"/>
      <c r="L1671" s="23"/>
    </row>
    <row r="1672" hidden="1">
      <c r="A1672" s="6"/>
      <c r="B1672" s="7"/>
      <c r="C1672" s="8"/>
      <c r="D1672" s="8"/>
      <c r="E1672" s="32"/>
      <c r="F1672" s="10"/>
      <c r="G1672" s="11"/>
      <c r="H1672" s="11"/>
      <c r="I1672" s="12"/>
      <c r="J1672" s="12"/>
      <c r="K1672" s="13"/>
      <c r="L1672" s="14"/>
    </row>
    <row r="1673" hidden="1">
      <c r="A1673" s="15"/>
      <c r="B1673" s="16"/>
      <c r="C1673" s="17"/>
      <c r="D1673" s="17"/>
      <c r="E1673" s="32"/>
      <c r="F1673" s="19"/>
      <c r="G1673" s="20"/>
      <c r="H1673" s="20"/>
      <c r="I1673" s="21"/>
      <c r="J1673" s="21"/>
      <c r="K1673" s="22"/>
      <c r="L1673" s="23"/>
    </row>
    <row r="1674" hidden="1">
      <c r="A1674" s="6"/>
      <c r="B1674" s="7"/>
      <c r="C1674" s="8"/>
      <c r="D1674" s="8"/>
      <c r="E1674" s="32"/>
      <c r="F1674" s="10"/>
      <c r="G1674" s="11"/>
      <c r="H1674" s="11"/>
      <c r="I1674" s="12"/>
      <c r="J1674" s="12"/>
      <c r="K1674" s="13"/>
      <c r="L1674" s="14"/>
    </row>
    <row r="1675" hidden="1">
      <c r="A1675" s="15"/>
      <c r="B1675" s="16"/>
      <c r="C1675" s="17"/>
      <c r="D1675" s="17"/>
      <c r="E1675" s="32"/>
      <c r="F1675" s="19"/>
      <c r="G1675" s="20"/>
      <c r="H1675" s="20"/>
      <c r="I1675" s="21"/>
      <c r="J1675" s="21"/>
      <c r="K1675" s="22"/>
      <c r="L1675" s="23"/>
    </row>
    <row r="1676" hidden="1">
      <c r="A1676" s="6"/>
      <c r="B1676" s="7"/>
      <c r="C1676" s="8"/>
      <c r="D1676" s="8"/>
      <c r="E1676" s="32"/>
      <c r="F1676" s="10"/>
      <c r="G1676" s="11"/>
      <c r="H1676" s="11"/>
      <c r="I1676" s="12"/>
      <c r="J1676" s="12"/>
      <c r="K1676" s="13"/>
      <c r="L1676" s="14"/>
    </row>
    <row r="1677" hidden="1">
      <c r="A1677" s="15"/>
      <c r="B1677" s="16"/>
      <c r="C1677" s="17"/>
      <c r="D1677" s="17"/>
      <c r="E1677" s="32"/>
      <c r="F1677" s="19"/>
      <c r="G1677" s="20"/>
      <c r="H1677" s="20"/>
      <c r="I1677" s="21"/>
      <c r="J1677" s="21"/>
      <c r="K1677" s="22"/>
      <c r="L1677" s="23"/>
    </row>
    <row r="1678" hidden="1">
      <c r="A1678" s="6"/>
      <c r="B1678" s="7"/>
      <c r="C1678" s="8"/>
      <c r="D1678" s="8"/>
      <c r="E1678" s="32"/>
      <c r="F1678" s="10"/>
      <c r="G1678" s="11"/>
      <c r="H1678" s="11"/>
      <c r="I1678" s="12"/>
      <c r="J1678" s="12"/>
      <c r="K1678" s="13"/>
      <c r="L1678" s="14"/>
    </row>
    <row r="1679" hidden="1">
      <c r="A1679" s="15"/>
      <c r="B1679" s="16"/>
      <c r="C1679" s="17"/>
      <c r="D1679" s="17"/>
      <c r="E1679" s="32"/>
      <c r="F1679" s="19"/>
      <c r="G1679" s="20"/>
      <c r="H1679" s="20"/>
      <c r="I1679" s="21"/>
      <c r="J1679" s="21"/>
      <c r="K1679" s="22"/>
      <c r="L1679" s="23"/>
    </row>
    <row r="1680" hidden="1">
      <c r="A1680" s="6"/>
      <c r="B1680" s="7"/>
      <c r="C1680" s="8"/>
      <c r="D1680" s="8"/>
      <c r="E1680" s="32"/>
      <c r="F1680" s="10"/>
      <c r="G1680" s="11"/>
      <c r="H1680" s="11"/>
      <c r="I1680" s="12"/>
      <c r="J1680" s="12"/>
      <c r="K1680" s="13"/>
      <c r="L1680" s="14"/>
    </row>
    <row r="1681" hidden="1">
      <c r="A1681" s="15"/>
      <c r="B1681" s="16"/>
      <c r="C1681" s="17"/>
      <c r="D1681" s="17"/>
      <c r="E1681" s="32"/>
      <c r="F1681" s="19"/>
      <c r="G1681" s="20"/>
      <c r="H1681" s="20"/>
      <c r="I1681" s="21"/>
      <c r="J1681" s="21"/>
      <c r="K1681" s="22"/>
      <c r="L1681" s="23"/>
    </row>
    <row r="1682" hidden="1">
      <c r="A1682" s="6"/>
      <c r="B1682" s="7"/>
      <c r="C1682" s="8"/>
      <c r="D1682" s="8"/>
      <c r="E1682" s="32"/>
      <c r="F1682" s="10"/>
      <c r="G1682" s="11"/>
      <c r="H1682" s="11"/>
      <c r="I1682" s="12"/>
      <c r="J1682" s="12"/>
      <c r="K1682" s="13"/>
      <c r="L1682" s="14"/>
    </row>
    <row r="1683" hidden="1">
      <c r="A1683" s="15"/>
      <c r="B1683" s="16"/>
      <c r="C1683" s="17"/>
      <c r="D1683" s="17"/>
      <c r="E1683" s="32"/>
      <c r="F1683" s="19"/>
      <c r="G1683" s="20"/>
      <c r="H1683" s="20"/>
      <c r="I1683" s="21"/>
      <c r="J1683" s="21"/>
      <c r="K1683" s="22"/>
      <c r="L1683" s="23"/>
    </row>
    <row r="1684" hidden="1">
      <c r="A1684" s="6"/>
      <c r="B1684" s="7"/>
      <c r="C1684" s="8"/>
      <c r="D1684" s="8"/>
      <c r="E1684" s="32"/>
      <c r="F1684" s="10"/>
      <c r="G1684" s="11"/>
      <c r="H1684" s="11"/>
      <c r="I1684" s="12"/>
      <c r="J1684" s="12"/>
      <c r="K1684" s="13"/>
      <c r="L1684" s="14"/>
    </row>
    <row r="1685" hidden="1">
      <c r="A1685" s="15"/>
      <c r="B1685" s="16"/>
      <c r="C1685" s="17"/>
      <c r="D1685" s="17"/>
      <c r="E1685" s="32"/>
      <c r="F1685" s="19"/>
      <c r="G1685" s="20"/>
      <c r="H1685" s="20"/>
      <c r="I1685" s="21"/>
      <c r="J1685" s="21"/>
      <c r="K1685" s="22"/>
      <c r="L1685" s="23"/>
    </row>
    <row r="1686" hidden="1">
      <c r="A1686" s="6"/>
      <c r="B1686" s="7"/>
      <c r="C1686" s="8"/>
      <c r="D1686" s="8"/>
      <c r="E1686" s="32"/>
      <c r="F1686" s="10"/>
      <c r="G1686" s="11"/>
      <c r="H1686" s="11"/>
      <c r="I1686" s="12"/>
      <c r="J1686" s="12"/>
      <c r="K1686" s="13"/>
      <c r="L1686" s="14"/>
    </row>
    <row r="1687" hidden="1">
      <c r="A1687" s="15"/>
      <c r="B1687" s="16"/>
      <c r="C1687" s="17"/>
      <c r="D1687" s="17"/>
      <c r="E1687" s="32"/>
      <c r="F1687" s="19"/>
      <c r="G1687" s="20"/>
      <c r="H1687" s="20"/>
      <c r="I1687" s="21"/>
      <c r="J1687" s="21"/>
      <c r="K1687" s="22"/>
      <c r="L1687" s="23"/>
    </row>
    <row r="1688" hidden="1">
      <c r="A1688" s="6"/>
      <c r="B1688" s="7"/>
      <c r="C1688" s="8"/>
      <c r="D1688" s="8"/>
      <c r="E1688" s="32"/>
      <c r="F1688" s="10"/>
      <c r="G1688" s="11"/>
      <c r="H1688" s="11"/>
      <c r="I1688" s="12"/>
      <c r="J1688" s="12"/>
      <c r="K1688" s="13"/>
      <c r="L1688" s="14"/>
    </row>
    <row r="1689" hidden="1">
      <c r="A1689" s="15"/>
      <c r="B1689" s="16"/>
      <c r="C1689" s="17"/>
      <c r="D1689" s="17"/>
      <c r="E1689" s="32"/>
      <c r="F1689" s="19"/>
      <c r="G1689" s="20"/>
      <c r="H1689" s="20"/>
      <c r="I1689" s="21"/>
      <c r="J1689" s="21"/>
      <c r="K1689" s="22"/>
      <c r="L1689" s="23"/>
    </row>
    <row r="1690" hidden="1">
      <c r="A1690" s="6"/>
      <c r="B1690" s="7"/>
      <c r="C1690" s="8"/>
      <c r="D1690" s="8"/>
      <c r="E1690" s="32"/>
      <c r="F1690" s="10"/>
      <c r="G1690" s="11"/>
      <c r="H1690" s="11"/>
      <c r="I1690" s="12"/>
      <c r="J1690" s="12"/>
      <c r="K1690" s="13"/>
      <c r="L1690" s="14"/>
    </row>
    <row r="1691" hidden="1">
      <c r="A1691" s="15"/>
      <c r="B1691" s="16"/>
      <c r="C1691" s="17"/>
      <c r="D1691" s="17"/>
      <c r="E1691" s="32"/>
      <c r="F1691" s="19"/>
      <c r="G1691" s="20"/>
      <c r="H1691" s="20"/>
      <c r="I1691" s="21"/>
      <c r="J1691" s="21"/>
      <c r="K1691" s="22"/>
      <c r="L1691" s="23"/>
    </row>
    <row r="1692" hidden="1">
      <c r="A1692" s="6"/>
      <c r="B1692" s="7"/>
      <c r="C1692" s="8"/>
      <c r="D1692" s="8"/>
      <c r="E1692" s="32"/>
      <c r="F1692" s="10"/>
      <c r="G1692" s="11"/>
      <c r="H1692" s="11"/>
      <c r="I1692" s="12"/>
      <c r="J1692" s="12"/>
      <c r="K1692" s="13"/>
      <c r="L1692" s="14"/>
    </row>
    <row r="1693" hidden="1">
      <c r="A1693" s="15"/>
      <c r="B1693" s="16"/>
      <c r="C1693" s="17"/>
      <c r="D1693" s="17"/>
      <c r="E1693" s="32"/>
      <c r="F1693" s="19"/>
      <c r="G1693" s="20"/>
      <c r="H1693" s="20"/>
      <c r="I1693" s="21"/>
      <c r="J1693" s="21"/>
      <c r="K1693" s="22"/>
      <c r="L1693" s="23"/>
    </row>
    <row r="1694" hidden="1">
      <c r="A1694" s="6"/>
      <c r="B1694" s="7"/>
      <c r="C1694" s="8"/>
      <c r="D1694" s="8"/>
      <c r="E1694" s="32"/>
      <c r="F1694" s="10"/>
      <c r="G1694" s="11"/>
      <c r="H1694" s="11"/>
      <c r="I1694" s="12"/>
      <c r="J1694" s="12"/>
      <c r="K1694" s="13"/>
      <c r="L1694" s="14"/>
    </row>
    <row r="1695" hidden="1">
      <c r="A1695" s="15"/>
      <c r="B1695" s="16"/>
      <c r="C1695" s="17"/>
      <c r="D1695" s="17"/>
      <c r="E1695" s="32"/>
      <c r="F1695" s="19"/>
      <c r="G1695" s="20"/>
      <c r="H1695" s="20"/>
      <c r="I1695" s="21"/>
      <c r="J1695" s="21"/>
      <c r="K1695" s="22"/>
      <c r="L1695" s="23"/>
    </row>
    <row r="1696" hidden="1">
      <c r="A1696" s="6"/>
      <c r="B1696" s="7"/>
      <c r="C1696" s="8"/>
      <c r="D1696" s="8"/>
      <c r="E1696" s="32"/>
      <c r="F1696" s="10"/>
      <c r="G1696" s="11"/>
      <c r="H1696" s="11"/>
      <c r="I1696" s="12"/>
      <c r="J1696" s="12"/>
      <c r="K1696" s="13"/>
      <c r="L1696" s="14"/>
    </row>
    <row r="1697" hidden="1">
      <c r="A1697" s="15"/>
      <c r="B1697" s="16"/>
      <c r="C1697" s="17"/>
      <c r="D1697" s="17"/>
      <c r="E1697" s="32"/>
      <c r="F1697" s="19"/>
      <c r="G1697" s="20"/>
      <c r="H1697" s="20"/>
      <c r="I1697" s="21"/>
      <c r="J1697" s="21"/>
      <c r="K1697" s="22"/>
      <c r="L1697" s="23"/>
    </row>
    <row r="1698" hidden="1">
      <c r="A1698" s="6"/>
      <c r="B1698" s="7"/>
      <c r="C1698" s="8"/>
      <c r="D1698" s="8"/>
      <c r="E1698" s="32"/>
      <c r="F1698" s="10"/>
      <c r="G1698" s="11"/>
      <c r="H1698" s="11"/>
      <c r="I1698" s="12"/>
      <c r="J1698" s="12"/>
      <c r="K1698" s="13"/>
      <c r="L1698" s="14"/>
    </row>
    <row r="1699" hidden="1">
      <c r="A1699" s="15"/>
      <c r="B1699" s="16"/>
      <c r="C1699" s="17"/>
      <c r="D1699" s="17"/>
      <c r="E1699" s="32"/>
      <c r="F1699" s="19"/>
      <c r="G1699" s="20"/>
      <c r="H1699" s="20"/>
      <c r="I1699" s="21"/>
      <c r="J1699" s="21"/>
      <c r="K1699" s="22"/>
      <c r="L1699" s="23"/>
    </row>
    <row r="1700" hidden="1">
      <c r="A1700" s="6"/>
      <c r="B1700" s="7"/>
      <c r="C1700" s="8"/>
      <c r="D1700" s="8"/>
      <c r="E1700" s="32"/>
      <c r="F1700" s="10"/>
      <c r="G1700" s="11"/>
      <c r="H1700" s="11"/>
      <c r="I1700" s="12"/>
      <c r="J1700" s="12"/>
      <c r="K1700" s="13"/>
      <c r="L1700" s="14"/>
    </row>
    <row r="1701" hidden="1">
      <c r="A1701" s="15"/>
      <c r="B1701" s="16"/>
      <c r="C1701" s="17"/>
      <c r="D1701" s="17"/>
      <c r="E1701" s="32"/>
      <c r="F1701" s="19"/>
      <c r="G1701" s="20"/>
      <c r="H1701" s="20"/>
      <c r="I1701" s="21"/>
      <c r="J1701" s="21"/>
      <c r="K1701" s="22"/>
      <c r="L1701" s="23"/>
    </row>
    <row r="1702" hidden="1">
      <c r="A1702" s="6"/>
      <c r="B1702" s="7"/>
      <c r="C1702" s="8"/>
      <c r="D1702" s="8"/>
      <c r="E1702" s="32"/>
      <c r="F1702" s="10"/>
      <c r="G1702" s="11"/>
      <c r="H1702" s="11"/>
      <c r="I1702" s="12"/>
      <c r="J1702" s="12"/>
      <c r="K1702" s="13"/>
      <c r="L1702" s="14"/>
    </row>
    <row r="1703" hidden="1">
      <c r="A1703" s="15"/>
      <c r="B1703" s="16"/>
      <c r="C1703" s="17"/>
      <c r="D1703" s="17"/>
      <c r="E1703" s="32"/>
      <c r="F1703" s="19"/>
      <c r="G1703" s="20"/>
      <c r="H1703" s="20"/>
      <c r="I1703" s="21"/>
      <c r="J1703" s="21"/>
      <c r="K1703" s="22"/>
      <c r="L1703" s="23"/>
    </row>
    <row r="1704" hidden="1">
      <c r="A1704" s="6"/>
      <c r="B1704" s="7"/>
      <c r="C1704" s="8"/>
      <c r="D1704" s="8"/>
      <c r="E1704" s="32"/>
      <c r="F1704" s="10"/>
      <c r="G1704" s="11"/>
      <c r="H1704" s="11"/>
      <c r="I1704" s="12"/>
      <c r="J1704" s="12"/>
      <c r="K1704" s="13"/>
      <c r="L1704" s="14"/>
    </row>
    <row r="1705" hidden="1">
      <c r="A1705" s="15"/>
      <c r="B1705" s="16"/>
      <c r="C1705" s="17"/>
      <c r="D1705" s="17"/>
      <c r="E1705" s="32"/>
      <c r="F1705" s="19"/>
      <c r="G1705" s="20"/>
      <c r="H1705" s="20"/>
      <c r="I1705" s="21"/>
      <c r="J1705" s="21"/>
      <c r="K1705" s="22"/>
      <c r="L1705" s="23"/>
    </row>
    <row r="1706" hidden="1">
      <c r="A1706" s="6"/>
      <c r="B1706" s="7"/>
      <c r="C1706" s="8"/>
      <c r="D1706" s="8"/>
      <c r="E1706" s="32"/>
      <c r="F1706" s="10"/>
      <c r="G1706" s="11"/>
      <c r="H1706" s="11"/>
      <c r="I1706" s="12"/>
      <c r="J1706" s="12"/>
      <c r="K1706" s="13"/>
      <c r="L1706" s="14"/>
    </row>
    <row r="1707" hidden="1">
      <c r="A1707" s="15"/>
      <c r="B1707" s="16"/>
      <c r="C1707" s="17"/>
      <c r="D1707" s="17"/>
      <c r="E1707" s="32"/>
      <c r="F1707" s="19"/>
      <c r="G1707" s="20"/>
      <c r="H1707" s="20"/>
      <c r="I1707" s="21"/>
      <c r="J1707" s="21"/>
      <c r="K1707" s="22"/>
      <c r="L1707" s="23"/>
    </row>
    <row r="1708" hidden="1">
      <c r="A1708" s="6"/>
      <c r="B1708" s="7"/>
      <c r="C1708" s="8"/>
      <c r="D1708" s="8"/>
      <c r="E1708" s="32"/>
      <c r="F1708" s="10"/>
      <c r="G1708" s="11"/>
      <c r="H1708" s="11"/>
      <c r="I1708" s="12"/>
      <c r="J1708" s="12"/>
      <c r="K1708" s="13"/>
      <c r="L1708" s="14"/>
    </row>
    <row r="1709" hidden="1">
      <c r="A1709" s="15"/>
      <c r="B1709" s="16"/>
      <c r="C1709" s="17"/>
      <c r="D1709" s="17"/>
      <c r="E1709" s="32"/>
      <c r="F1709" s="19"/>
      <c r="G1709" s="20"/>
      <c r="H1709" s="20"/>
      <c r="I1709" s="21"/>
      <c r="J1709" s="21"/>
      <c r="K1709" s="22"/>
      <c r="L1709" s="23"/>
    </row>
    <row r="1710" hidden="1">
      <c r="A1710" s="6"/>
      <c r="B1710" s="7"/>
      <c r="C1710" s="8"/>
      <c r="D1710" s="8"/>
      <c r="E1710" s="32"/>
      <c r="F1710" s="10"/>
      <c r="G1710" s="11"/>
      <c r="H1710" s="11"/>
      <c r="I1710" s="12"/>
      <c r="J1710" s="12"/>
      <c r="K1710" s="13"/>
      <c r="L1710" s="14"/>
    </row>
    <row r="1711" hidden="1">
      <c r="A1711" s="15"/>
      <c r="B1711" s="16"/>
      <c r="C1711" s="17"/>
      <c r="D1711" s="17"/>
      <c r="E1711" s="32"/>
      <c r="F1711" s="19"/>
      <c r="G1711" s="20"/>
      <c r="H1711" s="20"/>
      <c r="I1711" s="21"/>
      <c r="J1711" s="21"/>
      <c r="K1711" s="22"/>
      <c r="L1711" s="23"/>
    </row>
    <row r="1712" hidden="1">
      <c r="A1712" s="6"/>
      <c r="B1712" s="7"/>
      <c r="C1712" s="8"/>
      <c r="D1712" s="8"/>
      <c r="E1712" s="32"/>
      <c r="F1712" s="10"/>
      <c r="G1712" s="11"/>
      <c r="H1712" s="11"/>
      <c r="I1712" s="12"/>
      <c r="J1712" s="12"/>
      <c r="K1712" s="13"/>
      <c r="L1712" s="14"/>
    </row>
    <row r="1713" hidden="1">
      <c r="A1713" s="15"/>
      <c r="B1713" s="16"/>
      <c r="C1713" s="17"/>
      <c r="D1713" s="17"/>
      <c r="E1713" s="32"/>
      <c r="F1713" s="19"/>
      <c r="G1713" s="20"/>
      <c r="H1713" s="20"/>
      <c r="I1713" s="21"/>
      <c r="J1713" s="21"/>
      <c r="K1713" s="22"/>
      <c r="L1713" s="23"/>
    </row>
    <row r="1714" hidden="1">
      <c r="A1714" s="6"/>
      <c r="B1714" s="7"/>
      <c r="C1714" s="8"/>
      <c r="D1714" s="8"/>
      <c r="E1714" s="32"/>
      <c r="F1714" s="10"/>
      <c r="G1714" s="11"/>
      <c r="H1714" s="11"/>
      <c r="I1714" s="12"/>
      <c r="J1714" s="12"/>
      <c r="K1714" s="13"/>
      <c r="L1714" s="14"/>
    </row>
    <row r="1715" hidden="1">
      <c r="A1715" s="15"/>
      <c r="B1715" s="16"/>
      <c r="C1715" s="17"/>
      <c r="D1715" s="17"/>
      <c r="E1715" s="32"/>
      <c r="F1715" s="19"/>
      <c r="G1715" s="20"/>
      <c r="H1715" s="20"/>
      <c r="I1715" s="21"/>
      <c r="J1715" s="21"/>
      <c r="K1715" s="22"/>
      <c r="L1715" s="23"/>
    </row>
    <row r="1716" hidden="1">
      <c r="A1716" s="6"/>
      <c r="B1716" s="7"/>
      <c r="C1716" s="8"/>
      <c r="D1716" s="8"/>
      <c r="E1716" s="32"/>
      <c r="F1716" s="10"/>
      <c r="G1716" s="11"/>
      <c r="H1716" s="11"/>
      <c r="I1716" s="12"/>
      <c r="J1716" s="12"/>
      <c r="K1716" s="13"/>
      <c r="L1716" s="14"/>
    </row>
    <row r="1717" hidden="1">
      <c r="A1717" s="15"/>
      <c r="B1717" s="16"/>
      <c r="C1717" s="17"/>
      <c r="D1717" s="17"/>
      <c r="E1717" s="32"/>
      <c r="F1717" s="19"/>
      <c r="G1717" s="20"/>
      <c r="H1717" s="20"/>
      <c r="I1717" s="21"/>
      <c r="J1717" s="21"/>
      <c r="K1717" s="22"/>
      <c r="L1717" s="23"/>
    </row>
    <row r="1718" hidden="1">
      <c r="A1718" s="6"/>
      <c r="B1718" s="7"/>
      <c r="C1718" s="8"/>
      <c r="D1718" s="8"/>
      <c r="E1718" s="32"/>
      <c r="F1718" s="10"/>
      <c r="G1718" s="11"/>
      <c r="H1718" s="11"/>
      <c r="I1718" s="12"/>
      <c r="J1718" s="12"/>
      <c r="K1718" s="13"/>
      <c r="L1718" s="14"/>
    </row>
    <row r="1719" hidden="1">
      <c r="A1719" s="15"/>
      <c r="B1719" s="16"/>
      <c r="C1719" s="17"/>
      <c r="D1719" s="17"/>
      <c r="E1719" s="32"/>
      <c r="F1719" s="19"/>
      <c r="G1719" s="20"/>
      <c r="H1719" s="20"/>
      <c r="I1719" s="21"/>
      <c r="J1719" s="21"/>
      <c r="K1719" s="22"/>
      <c r="L1719" s="23"/>
    </row>
    <row r="1720" hidden="1">
      <c r="A1720" s="6"/>
      <c r="B1720" s="7"/>
      <c r="C1720" s="8"/>
      <c r="D1720" s="8"/>
      <c r="E1720" s="32"/>
      <c r="F1720" s="10"/>
      <c r="G1720" s="11"/>
      <c r="H1720" s="11"/>
      <c r="I1720" s="12"/>
      <c r="J1720" s="12"/>
      <c r="K1720" s="13"/>
      <c r="L1720" s="14"/>
    </row>
    <row r="1721" hidden="1">
      <c r="A1721" s="15"/>
      <c r="B1721" s="16"/>
      <c r="C1721" s="17"/>
      <c r="D1721" s="17"/>
      <c r="E1721" s="32"/>
      <c r="F1721" s="19"/>
      <c r="G1721" s="20"/>
      <c r="H1721" s="20"/>
      <c r="I1721" s="21"/>
      <c r="J1721" s="21"/>
      <c r="K1721" s="22"/>
      <c r="L1721" s="23"/>
    </row>
    <row r="1722" hidden="1">
      <c r="A1722" s="6"/>
      <c r="B1722" s="7"/>
      <c r="C1722" s="8"/>
      <c r="D1722" s="8"/>
      <c r="E1722" s="32"/>
      <c r="F1722" s="10"/>
      <c r="G1722" s="11"/>
      <c r="H1722" s="11"/>
      <c r="I1722" s="12"/>
      <c r="J1722" s="12"/>
      <c r="K1722" s="13"/>
      <c r="L1722" s="14"/>
    </row>
    <row r="1723" hidden="1">
      <c r="A1723" s="15"/>
      <c r="B1723" s="16"/>
      <c r="C1723" s="17"/>
      <c r="D1723" s="17"/>
      <c r="E1723" s="32"/>
      <c r="F1723" s="19"/>
      <c r="G1723" s="20"/>
      <c r="H1723" s="20"/>
      <c r="I1723" s="21"/>
      <c r="J1723" s="21"/>
      <c r="K1723" s="22"/>
      <c r="L1723" s="23"/>
    </row>
    <row r="1724" hidden="1">
      <c r="A1724" s="6"/>
      <c r="B1724" s="7"/>
      <c r="C1724" s="8"/>
      <c r="D1724" s="8"/>
      <c r="E1724" s="32"/>
      <c r="F1724" s="10"/>
      <c r="G1724" s="11"/>
      <c r="H1724" s="11"/>
      <c r="I1724" s="12"/>
      <c r="J1724" s="12"/>
      <c r="K1724" s="13"/>
      <c r="L1724" s="14"/>
    </row>
    <row r="1725" hidden="1">
      <c r="A1725" s="15"/>
      <c r="B1725" s="16"/>
      <c r="C1725" s="17"/>
      <c r="D1725" s="17"/>
      <c r="E1725" s="32"/>
      <c r="F1725" s="19"/>
      <c r="G1725" s="20"/>
      <c r="H1725" s="20"/>
      <c r="I1725" s="21"/>
      <c r="J1725" s="21"/>
      <c r="K1725" s="22"/>
      <c r="L1725" s="23"/>
    </row>
    <row r="1726" hidden="1">
      <c r="A1726" s="6"/>
      <c r="B1726" s="7"/>
      <c r="C1726" s="8"/>
      <c r="D1726" s="8"/>
      <c r="E1726" s="32"/>
      <c r="F1726" s="10"/>
      <c r="G1726" s="11"/>
      <c r="H1726" s="11"/>
      <c r="I1726" s="12"/>
      <c r="J1726" s="12"/>
      <c r="K1726" s="13"/>
      <c r="L1726" s="14"/>
    </row>
    <row r="1727" hidden="1">
      <c r="A1727" s="15"/>
      <c r="B1727" s="16"/>
      <c r="C1727" s="17"/>
      <c r="D1727" s="17"/>
      <c r="E1727" s="32"/>
      <c r="F1727" s="19"/>
      <c r="G1727" s="20"/>
      <c r="H1727" s="20"/>
      <c r="I1727" s="21"/>
      <c r="J1727" s="21"/>
      <c r="K1727" s="22"/>
      <c r="L1727" s="23"/>
    </row>
    <row r="1728" hidden="1">
      <c r="A1728" s="6"/>
      <c r="B1728" s="7"/>
      <c r="C1728" s="8"/>
      <c r="D1728" s="8"/>
      <c r="E1728" s="32"/>
      <c r="F1728" s="10"/>
      <c r="G1728" s="11"/>
      <c r="H1728" s="11"/>
      <c r="I1728" s="12"/>
      <c r="J1728" s="12"/>
      <c r="K1728" s="13"/>
      <c r="L1728" s="14"/>
    </row>
    <row r="1729" hidden="1">
      <c r="A1729" s="15"/>
      <c r="B1729" s="16"/>
      <c r="C1729" s="17"/>
      <c r="D1729" s="17"/>
      <c r="E1729" s="32"/>
      <c r="F1729" s="19"/>
      <c r="G1729" s="20"/>
      <c r="H1729" s="20"/>
      <c r="I1729" s="21"/>
      <c r="J1729" s="21"/>
      <c r="K1729" s="22"/>
      <c r="L1729" s="23"/>
    </row>
    <row r="1730" hidden="1">
      <c r="A1730" s="6"/>
      <c r="B1730" s="7"/>
      <c r="C1730" s="8"/>
      <c r="D1730" s="8"/>
      <c r="E1730" s="32"/>
      <c r="F1730" s="10"/>
      <c r="G1730" s="11"/>
      <c r="H1730" s="11"/>
      <c r="I1730" s="12"/>
      <c r="J1730" s="12"/>
      <c r="K1730" s="13"/>
      <c r="L1730" s="14"/>
    </row>
    <row r="1731" hidden="1">
      <c r="A1731" s="15"/>
      <c r="B1731" s="16"/>
      <c r="C1731" s="17"/>
      <c r="D1731" s="17"/>
      <c r="E1731" s="32"/>
      <c r="F1731" s="19"/>
      <c r="G1731" s="20"/>
      <c r="H1731" s="20"/>
      <c r="I1731" s="21"/>
      <c r="J1731" s="21"/>
      <c r="K1731" s="22"/>
      <c r="L1731" s="23"/>
    </row>
    <row r="1732" hidden="1">
      <c r="A1732" s="6"/>
      <c r="B1732" s="7"/>
      <c r="C1732" s="8"/>
      <c r="D1732" s="8"/>
      <c r="E1732" s="32"/>
      <c r="F1732" s="10"/>
      <c r="G1732" s="11"/>
      <c r="H1732" s="11"/>
      <c r="I1732" s="12"/>
      <c r="J1732" s="12"/>
      <c r="K1732" s="13"/>
      <c r="L1732" s="14"/>
    </row>
    <row r="1733" hidden="1">
      <c r="A1733" s="15"/>
      <c r="B1733" s="16"/>
      <c r="C1733" s="17"/>
      <c r="D1733" s="17"/>
      <c r="E1733" s="32"/>
      <c r="F1733" s="19"/>
      <c r="G1733" s="20"/>
      <c r="H1733" s="20"/>
      <c r="I1733" s="21"/>
      <c r="J1733" s="21"/>
      <c r="K1733" s="22"/>
      <c r="L1733" s="23"/>
    </row>
    <row r="1734" hidden="1">
      <c r="A1734" s="6"/>
      <c r="B1734" s="7"/>
      <c r="C1734" s="8"/>
      <c r="D1734" s="8"/>
      <c r="E1734" s="32"/>
      <c r="F1734" s="10"/>
      <c r="G1734" s="11"/>
      <c r="H1734" s="11"/>
      <c r="I1734" s="12"/>
      <c r="J1734" s="12"/>
      <c r="K1734" s="13"/>
      <c r="L1734" s="14"/>
    </row>
    <row r="1735" hidden="1">
      <c r="A1735" s="15"/>
      <c r="B1735" s="16"/>
      <c r="C1735" s="17"/>
      <c r="D1735" s="17"/>
      <c r="E1735" s="32"/>
      <c r="F1735" s="19"/>
      <c r="G1735" s="20"/>
      <c r="H1735" s="20"/>
      <c r="I1735" s="21"/>
      <c r="J1735" s="21"/>
      <c r="K1735" s="22"/>
      <c r="L1735" s="23"/>
    </row>
    <row r="1736" hidden="1">
      <c r="A1736" s="6"/>
      <c r="B1736" s="7"/>
      <c r="C1736" s="8"/>
      <c r="D1736" s="8"/>
      <c r="E1736" s="32"/>
      <c r="F1736" s="10"/>
      <c r="G1736" s="11"/>
      <c r="H1736" s="11"/>
      <c r="I1736" s="12"/>
      <c r="J1736" s="12"/>
      <c r="K1736" s="13"/>
      <c r="L1736" s="14"/>
    </row>
    <row r="1737" hidden="1">
      <c r="A1737" s="15"/>
      <c r="B1737" s="16"/>
      <c r="C1737" s="17"/>
      <c r="D1737" s="17"/>
      <c r="E1737" s="32"/>
      <c r="F1737" s="19"/>
      <c r="G1737" s="20"/>
      <c r="H1737" s="20"/>
      <c r="I1737" s="21"/>
      <c r="J1737" s="21"/>
      <c r="K1737" s="22"/>
      <c r="L1737" s="23"/>
    </row>
    <row r="1738" hidden="1">
      <c r="A1738" s="6"/>
      <c r="B1738" s="7"/>
      <c r="C1738" s="8"/>
      <c r="D1738" s="8"/>
      <c r="E1738" s="32"/>
      <c r="F1738" s="10"/>
      <c r="G1738" s="11"/>
      <c r="H1738" s="11"/>
      <c r="I1738" s="12"/>
      <c r="J1738" s="12"/>
      <c r="K1738" s="13"/>
      <c r="L1738" s="14"/>
    </row>
    <row r="1739" hidden="1">
      <c r="A1739" s="15"/>
      <c r="B1739" s="16"/>
      <c r="C1739" s="17"/>
      <c r="D1739" s="17"/>
      <c r="E1739" s="32"/>
      <c r="F1739" s="19"/>
      <c r="G1739" s="20"/>
      <c r="H1739" s="20"/>
      <c r="I1739" s="21"/>
      <c r="J1739" s="21"/>
      <c r="K1739" s="22"/>
      <c r="L1739" s="23"/>
    </row>
    <row r="1740" hidden="1">
      <c r="A1740" s="6"/>
      <c r="B1740" s="7"/>
      <c r="C1740" s="8"/>
      <c r="D1740" s="8"/>
      <c r="E1740" s="32"/>
      <c r="F1740" s="10"/>
      <c r="G1740" s="11"/>
      <c r="H1740" s="11"/>
      <c r="I1740" s="12"/>
      <c r="J1740" s="12"/>
      <c r="K1740" s="13"/>
      <c r="L1740" s="14"/>
    </row>
    <row r="1741" hidden="1">
      <c r="A1741" s="15"/>
      <c r="B1741" s="16"/>
      <c r="C1741" s="17"/>
      <c r="D1741" s="17"/>
      <c r="E1741" s="32"/>
      <c r="F1741" s="19"/>
      <c r="G1741" s="20"/>
      <c r="H1741" s="20"/>
      <c r="I1741" s="21"/>
      <c r="J1741" s="21"/>
      <c r="K1741" s="22"/>
      <c r="L1741" s="23"/>
    </row>
    <row r="1742" hidden="1">
      <c r="A1742" s="6"/>
      <c r="B1742" s="7"/>
      <c r="C1742" s="8"/>
      <c r="D1742" s="8"/>
      <c r="E1742" s="32"/>
      <c r="F1742" s="10"/>
      <c r="G1742" s="11"/>
      <c r="H1742" s="11"/>
      <c r="I1742" s="12"/>
      <c r="J1742" s="12"/>
      <c r="K1742" s="13"/>
      <c r="L1742" s="14"/>
    </row>
    <row r="1743" hidden="1">
      <c r="A1743" s="15"/>
      <c r="B1743" s="16"/>
      <c r="C1743" s="17"/>
      <c r="D1743" s="17"/>
      <c r="E1743" s="32"/>
      <c r="F1743" s="19"/>
      <c r="G1743" s="20"/>
      <c r="H1743" s="20"/>
      <c r="I1743" s="21"/>
      <c r="J1743" s="21"/>
      <c r="K1743" s="22"/>
      <c r="L1743" s="23"/>
    </row>
    <row r="1744" hidden="1">
      <c r="A1744" s="6"/>
      <c r="B1744" s="7"/>
      <c r="C1744" s="8"/>
      <c r="D1744" s="8"/>
      <c r="E1744" s="32"/>
      <c r="F1744" s="10"/>
      <c r="G1744" s="11"/>
      <c r="H1744" s="11"/>
      <c r="I1744" s="12"/>
      <c r="J1744" s="12"/>
      <c r="K1744" s="13"/>
      <c r="L1744" s="14"/>
    </row>
    <row r="1745" hidden="1">
      <c r="A1745" s="15"/>
      <c r="B1745" s="16"/>
      <c r="C1745" s="17"/>
      <c r="D1745" s="17"/>
      <c r="E1745" s="32"/>
      <c r="F1745" s="19"/>
      <c r="G1745" s="20"/>
      <c r="H1745" s="20"/>
      <c r="I1745" s="21"/>
      <c r="J1745" s="21"/>
      <c r="K1745" s="22"/>
      <c r="L1745" s="23"/>
    </row>
    <row r="1746" hidden="1">
      <c r="A1746" s="6"/>
      <c r="B1746" s="7"/>
      <c r="C1746" s="8"/>
      <c r="D1746" s="8"/>
      <c r="E1746" s="32"/>
      <c r="F1746" s="10"/>
      <c r="G1746" s="11"/>
      <c r="H1746" s="11"/>
      <c r="I1746" s="12"/>
      <c r="J1746" s="12"/>
      <c r="K1746" s="13"/>
      <c r="L1746" s="14"/>
    </row>
    <row r="1747" hidden="1">
      <c r="A1747" s="15"/>
      <c r="B1747" s="16"/>
      <c r="C1747" s="17"/>
      <c r="D1747" s="17"/>
      <c r="E1747" s="32"/>
      <c r="F1747" s="19"/>
      <c r="G1747" s="20"/>
      <c r="H1747" s="20"/>
      <c r="I1747" s="21"/>
      <c r="J1747" s="21"/>
      <c r="K1747" s="22"/>
      <c r="L1747" s="23"/>
    </row>
    <row r="1748" hidden="1">
      <c r="A1748" s="6"/>
      <c r="B1748" s="7"/>
      <c r="C1748" s="8"/>
      <c r="D1748" s="8"/>
      <c r="E1748" s="32"/>
      <c r="F1748" s="10"/>
      <c r="G1748" s="11"/>
      <c r="H1748" s="11"/>
      <c r="I1748" s="12"/>
      <c r="J1748" s="12"/>
      <c r="K1748" s="13"/>
      <c r="L1748" s="14"/>
    </row>
    <row r="1749" hidden="1">
      <c r="A1749" s="15"/>
      <c r="B1749" s="16"/>
      <c r="C1749" s="17"/>
      <c r="D1749" s="17"/>
      <c r="E1749" s="32"/>
      <c r="F1749" s="19"/>
      <c r="G1749" s="20"/>
      <c r="H1749" s="20"/>
      <c r="I1749" s="21"/>
      <c r="J1749" s="21"/>
      <c r="K1749" s="22"/>
      <c r="L1749" s="23"/>
    </row>
    <row r="1750" hidden="1">
      <c r="A1750" s="6"/>
      <c r="B1750" s="7"/>
      <c r="C1750" s="8"/>
      <c r="D1750" s="8"/>
      <c r="E1750" s="32"/>
      <c r="F1750" s="10"/>
      <c r="G1750" s="11"/>
      <c r="H1750" s="11"/>
      <c r="I1750" s="12"/>
      <c r="J1750" s="12"/>
      <c r="K1750" s="13"/>
      <c r="L1750" s="14"/>
    </row>
    <row r="1751" hidden="1">
      <c r="A1751" s="15"/>
      <c r="B1751" s="16"/>
      <c r="C1751" s="17"/>
      <c r="D1751" s="17"/>
      <c r="E1751" s="32"/>
      <c r="F1751" s="19"/>
      <c r="G1751" s="20"/>
      <c r="H1751" s="20"/>
      <c r="I1751" s="21"/>
      <c r="J1751" s="21"/>
      <c r="K1751" s="22"/>
      <c r="L1751" s="23"/>
    </row>
    <row r="1752" hidden="1">
      <c r="A1752" s="6"/>
      <c r="B1752" s="7"/>
      <c r="C1752" s="8"/>
      <c r="D1752" s="8"/>
      <c r="E1752" s="32"/>
      <c r="F1752" s="10"/>
      <c r="G1752" s="11"/>
      <c r="H1752" s="11"/>
      <c r="I1752" s="12"/>
      <c r="J1752" s="12"/>
      <c r="K1752" s="13"/>
      <c r="L1752" s="14"/>
    </row>
    <row r="1753" hidden="1">
      <c r="A1753" s="15"/>
      <c r="B1753" s="16"/>
      <c r="C1753" s="17"/>
      <c r="D1753" s="17"/>
      <c r="E1753" s="32"/>
      <c r="F1753" s="19"/>
      <c r="G1753" s="20"/>
      <c r="H1753" s="20"/>
      <c r="I1753" s="21"/>
      <c r="J1753" s="21"/>
      <c r="K1753" s="22"/>
      <c r="L1753" s="23"/>
    </row>
    <row r="1754" hidden="1">
      <c r="A1754" s="6"/>
      <c r="B1754" s="7"/>
      <c r="C1754" s="8"/>
      <c r="D1754" s="8"/>
      <c r="E1754" s="32"/>
      <c r="F1754" s="10"/>
      <c r="G1754" s="11"/>
      <c r="H1754" s="11"/>
      <c r="I1754" s="12"/>
      <c r="J1754" s="12"/>
      <c r="K1754" s="13"/>
      <c r="L1754" s="14"/>
    </row>
    <row r="1755" hidden="1">
      <c r="A1755" s="15"/>
      <c r="B1755" s="16"/>
      <c r="C1755" s="17"/>
      <c r="D1755" s="17"/>
      <c r="E1755" s="32"/>
      <c r="F1755" s="19"/>
      <c r="G1755" s="20"/>
      <c r="H1755" s="20"/>
      <c r="I1755" s="21"/>
      <c r="J1755" s="21"/>
      <c r="K1755" s="22"/>
      <c r="L1755" s="23"/>
    </row>
    <row r="1756" hidden="1">
      <c r="A1756" s="6"/>
      <c r="B1756" s="7"/>
      <c r="C1756" s="8"/>
      <c r="D1756" s="8"/>
      <c r="E1756" s="32"/>
      <c r="F1756" s="10"/>
      <c r="G1756" s="11"/>
      <c r="H1756" s="11"/>
      <c r="I1756" s="12"/>
      <c r="J1756" s="12"/>
      <c r="K1756" s="13"/>
      <c r="L1756" s="14"/>
    </row>
    <row r="1757" hidden="1">
      <c r="A1757" s="15"/>
      <c r="B1757" s="16"/>
      <c r="C1757" s="17"/>
      <c r="D1757" s="17"/>
      <c r="E1757" s="32"/>
      <c r="F1757" s="19"/>
      <c r="G1757" s="20"/>
      <c r="H1757" s="20"/>
      <c r="I1757" s="21"/>
      <c r="J1757" s="21"/>
      <c r="K1757" s="22"/>
      <c r="L1757" s="23"/>
    </row>
    <row r="1758" hidden="1">
      <c r="A1758" s="6"/>
      <c r="B1758" s="7"/>
      <c r="C1758" s="8"/>
      <c r="D1758" s="8"/>
      <c r="E1758" s="32"/>
      <c r="F1758" s="10"/>
      <c r="G1758" s="11"/>
      <c r="H1758" s="11"/>
      <c r="I1758" s="12"/>
      <c r="J1758" s="12"/>
      <c r="K1758" s="13"/>
      <c r="L1758" s="14"/>
    </row>
    <row r="1759" hidden="1">
      <c r="A1759" s="15"/>
      <c r="B1759" s="16"/>
      <c r="C1759" s="17"/>
      <c r="D1759" s="17"/>
      <c r="E1759" s="32"/>
      <c r="F1759" s="19"/>
      <c r="G1759" s="20"/>
      <c r="H1759" s="20"/>
      <c r="I1759" s="21"/>
      <c r="J1759" s="21"/>
      <c r="K1759" s="22"/>
      <c r="L1759" s="23"/>
    </row>
    <row r="1760" hidden="1">
      <c r="A1760" s="6"/>
      <c r="B1760" s="7"/>
      <c r="C1760" s="8"/>
      <c r="D1760" s="8"/>
      <c r="E1760" s="32"/>
      <c r="F1760" s="10"/>
      <c r="G1760" s="11"/>
      <c r="H1760" s="11"/>
      <c r="I1760" s="12"/>
      <c r="J1760" s="12"/>
      <c r="K1760" s="13"/>
      <c r="L1760" s="14"/>
    </row>
    <row r="1761" hidden="1">
      <c r="A1761" s="33"/>
      <c r="B1761" s="34"/>
      <c r="C1761" s="35"/>
      <c r="D1761" s="35"/>
      <c r="E1761" s="36"/>
      <c r="F1761" s="37"/>
      <c r="G1761" s="38"/>
      <c r="H1761" s="38"/>
      <c r="I1761" s="39"/>
      <c r="J1761" s="39"/>
      <c r="K1761" s="40"/>
      <c r="L1761" s="41"/>
    </row>
  </sheetData>
  <customSheetViews>
    <customSheetView guid="{C9636DAD-E00A-4F65-9D69-37D0320F0FF2}" filter="1" showAutoFilter="1">
      <autoFilter ref="$A$1:$L$1761"/>
    </customSheetView>
  </customSheetViews>
  <conditionalFormatting sqref="E2:E1761">
    <cfRule type="cellIs" dxfId="0" priority="1" operator="equal">
      <formula>"Collaboration and Leadership"</formula>
    </cfRule>
  </conditionalFormatting>
  <conditionalFormatting sqref="E2:E1761">
    <cfRule type="cellIs" dxfId="1" priority="2" operator="equal">
      <formula>"Communication"</formula>
    </cfRule>
  </conditionalFormatting>
  <conditionalFormatting sqref="E2:E1761">
    <cfRule type="cellIs" dxfId="2" priority="3" operator="equal">
      <formula>"Creativity and Innovation"</formula>
    </cfRule>
  </conditionalFormatting>
  <conditionalFormatting sqref="E2:E1761">
    <cfRule type="cellIs" dxfId="3" priority="4" operator="equal">
      <formula>"Digital Literacy"</formula>
    </cfRule>
  </conditionalFormatting>
  <conditionalFormatting sqref="E2:E1761">
    <cfRule type="cellIs" dxfId="4" priority="5" operator="equal">
      <formula>"Emotional Intelligence"</formula>
    </cfRule>
  </conditionalFormatting>
  <conditionalFormatting sqref="E2:E1761">
    <cfRule type="cellIs" dxfId="5" priority="6" operator="equal">
      <formula>"Global Citizenship"</formula>
    </cfRule>
  </conditionalFormatting>
  <conditionalFormatting sqref="E2:E1761">
    <cfRule type="cellIs" dxfId="6" priority="7" operator="equal">
      <formula>"Thinking and Deciding Clearly"</formula>
    </cfRule>
  </conditionalFormatting>
  <conditionalFormatting sqref="E2:E1761">
    <cfRule type="cellIs" dxfId="7" priority="8" operator="equal">
      <formula>"Mandatory Trainings"</formula>
    </cfRule>
  </conditionalFormatting>
  <conditionalFormatting sqref="E2:E1761">
    <cfRule type="cellIs" dxfId="8" priority="9" operator="equal">
      <formula>"Tools &amp; Tutorials"</formula>
    </cfRule>
  </conditionalFormatting>
  <conditionalFormatting sqref="E2:E1761">
    <cfRule type="cellIs" dxfId="7" priority="10" operator="equal">
      <formula>"Mandatory Trainings"</formula>
    </cfRule>
  </conditionalFormatting>
  <conditionalFormatting sqref="E2:E1761">
    <cfRule type="containsBlanks" dxfId="9" priority="11">
      <formula>LEN(TRIM(E2))=0</formula>
    </cfRule>
  </conditionalFormatting>
  <dataValidations>
    <dataValidation type="custom" allowBlank="1" showDropDown="1" sqref="K2:K1761">
      <formula1>OR(NOT(ISERROR(DATEVALUE(K2))), AND(ISNUMBER(K2), LEFT(CELL("format", K2))="D"))</formula1>
    </dataValidation>
  </dataValidations>
  <hyperlinks>
    <hyperlink r:id="rId1" ref="L2"/>
    <hyperlink r:id="rId2" ref="L3"/>
    <hyperlink r:id="rId3" ref="L4"/>
    <hyperlink r:id="rId4" ref="L5"/>
    <hyperlink r:id="rId5" ref="L6"/>
    <hyperlink r:id="rId6" ref="L7"/>
    <hyperlink r:id="rId7" ref="L8"/>
    <hyperlink r:id="rId8" ref="L9"/>
    <hyperlink r:id="rId9" ref="L10"/>
    <hyperlink r:id="rId10" ref="L11"/>
    <hyperlink r:id="rId11" ref="L12"/>
    <hyperlink r:id="rId12" ref="L13"/>
    <hyperlink r:id="rId13" ref="L14"/>
    <hyperlink r:id="rId14" ref="L15"/>
    <hyperlink r:id="rId15" ref="L16"/>
    <hyperlink r:id="rId16" ref="L17"/>
    <hyperlink r:id="rId17" ref="L18"/>
    <hyperlink r:id="rId18" ref="L19"/>
    <hyperlink r:id="rId19" ref="L20"/>
    <hyperlink r:id="rId20" ref="L21"/>
    <hyperlink r:id="rId21" ref="L22"/>
    <hyperlink r:id="rId22" ref="L23"/>
    <hyperlink r:id="rId23" ref="L24"/>
    <hyperlink r:id="rId24" ref="L25"/>
    <hyperlink r:id="rId25" ref="L26"/>
    <hyperlink r:id="rId26" ref="L27"/>
    <hyperlink r:id="rId27" ref="L28"/>
    <hyperlink r:id="rId28" ref="L29"/>
    <hyperlink r:id="rId29" ref="L30"/>
    <hyperlink r:id="rId30" ref="L31"/>
    <hyperlink r:id="rId31" ref="L32"/>
    <hyperlink r:id="rId32" ref="L33"/>
    <hyperlink r:id="rId33" ref="L34"/>
    <hyperlink r:id="rId34" ref="L35"/>
    <hyperlink r:id="rId35" ref="L36"/>
    <hyperlink r:id="rId36" ref="L37"/>
    <hyperlink r:id="rId37" ref="L38"/>
    <hyperlink r:id="rId38" ref="L39"/>
    <hyperlink r:id="rId39" ref="L40"/>
    <hyperlink r:id="rId40" ref="L41"/>
    <hyperlink r:id="rId41" ref="L42"/>
    <hyperlink r:id="rId42" ref="L43"/>
    <hyperlink r:id="rId43" ref="L44"/>
    <hyperlink r:id="rId44" ref="L45"/>
    <hyperlink r:id="rId45" ref="L46"/>
    <hyperlink r:id="rId46" ref="L47"/>
    <hyperlink r:id="rId47" ref="L48"/>
    <hyperlink r:id="rId48" ref="L49"/>
    <hyperlink r:id="rId49" ref="L50"/>
    <hyperlink r:id="rId50" ref="L51"/>
    <hyperlink r:id="rId51" ref="L52"/>
    <hyperlink r:id="rId52" ref="L53"/>
    <hyperlink r:id="rId53" ref="L54"/>
    <hyperlink r:id="rId54" ref="L55"/>
    <hyperlink r:id="rId55" ref="L56"/>
    <hyperlink r:id="rId56" ref="L57"/>
    <hyperlink r:id="rId57" ref="L58"/>
    <hyperlink r:id="rId58" ref="L59"/>
    <hyperlink r:id="rId59" ref="L60"/>
    <hyperlink r:id="rId60" ref="L61"/>
    <hyperlink r:id="rId61" ref="L62"/>
    <hyperlink r:id="rId62" ref="L63"/>
    <hyperlink r:id="rId63" ref="L64"/>
    <hyperlink r:id="rId64" ref="L65"/>
    <hyperlink r:id="rId65" ref="L66"/>
    <hyperlink r:id="rId66" ref="L67"/>
    <hyperlink r:id="rId67" ref="L68"/>
    <hyperlink r:id="rId68" ref="L69"/>
    <hyperlink r:id="rId69" ref="L70"/>
    <hyperlink r:id="rId70" ref="L71"/>
    <hyperlink r:id="rId71" ref="L72"/>
    <hyperlink r:id="rId72" ref="L73"/>
    <hyperlink r:id="rId73" ref="L74"/>
    <hyperlink r:id="rId74" ref="L75"/>
    <hyperlink r:id="rId75" ref="L76"/>
    <hyperlink r:id="rId76" ref="L77"/>
    <hyperlink r:id="rId77" ref="L78"/>
    <hyperlink r:id="rId78" ref="L79"/>
    <hyperlink r:id="rId79" ref="L80"/>
    <hyperlink r:id="rId80" ref="L81"/>
    <hyperlink r:id="rId81" ref="L82"/>
    <hyperlink r:id="rId82" ref="L83"/>
    <hyperlink r:id="rId83" ref="L84"/>
    <hyperlink r:id="rId84" ref="L85"/>
    <hyperlink r:id="rId85" ref="L86"/>
    <hyperlink r:id="rId86" ref="L87"/>
    <hyperlink r:id="rId87" ref="L88"/>
    <hyperlink r:id="rId88" ref="L89"/>
    <hyperlink r:id="rId89" ref="L90"/>
    <hyperlink r:id="rId90" ref="L91"/>
    <hyperlink r:id="rId91" ref="L92"/>
    <hyperlink r:id="rId92" ref="L93"/>
    <hyperlink r:id="rId93" ref="L94"/>
    <hyperlink r:id="rId94" ref="L95"/>
    <hyperlink r:id="rId95" ref="L96"/>
    <hyperlink r:id="rId96" ref="F97"/>
    <hyperlink r:id="rId97" ref="L97"/>
    <hyperlink r:id="rId98" ref="L98"/>
    <hyperlink r:id="rId99" ref="L99"/>
    <hyperlink r:id="rId100" ref="L100"/>
    <hyperlink r:id="rId101" ref="L101"/>
    <hyperlink r:id="rId102" ref="L102"/>
    <hyperlink r:id="rId103" ref="L103"/>
    <hyperlink r:id="rId104" ref="L104"/>
    <hyperlink r:id="rId105" ref="L105"/>
    <hyperlink r:id="rId106" ref="L106"/>
    <hyperlink r:id="rId107" ref="L107"/>
    <hyperlink r:id="rId108" ref="L108"/>
    <hyperlink r:id="rId109" ref="L109"/>
    <hyperlink r:id="rId110" ref="L110"/>
    <hyperlink r:id="rId111" ref="L111"/>
    <hyperlink r:id="rId112" ref="L112"/>
    <hyperlink r:id="rId113" ref="L113"/>
    <hyperlink r:id="rId114" ref="L114"/>
    <hyperlink r:id="rId115" ref="L115"/>
    <hyperlink r:id="rId116" ref="L116"/>
    <hyperlink r:id="rId117" ref="L117"/>
    <hyperlink r:id="rId118" ref="L118"/>
    <hyperlink r:id="rId119" ref="L119"/>
    <hyperlink r:id="rId120" ref="L120"/>
    <hyperlink r:id="rId121" ref="L121"/>
    <hyperlink r:id="rId122" ref="L122"/>
    <hyperlink r:id="rId123" ref="L123"/>
    <hyperlink r:id="rId124" ref="L124"/>
    <hyperlink r:id="rId125" ref="L125"/>
    <hyperlink r:id="rId126" ref="L126"/>
    <hyperlink r:id="rId127" ref="L127"/>
    <hyperlink r:id="rId128" ref="L128"/>
    <hyperlink r:id="rId129" ref="L129"/>
    <hyperlink r:id="rId130" ref="L130"/>
    <hyperlink r:id="rId131" ref="L131"/>
    <hyperlink r:id="rId132" ref="L132"/>
    <hyperlink r:id="rId133" ref="L133"/>
    <hyperlink r:id="rId134" ref="L134"/>
    <hyperlink r:id="rId135" ref="L135"/>
    <hyperlink r:id="rId136" ref="L136"/>
    <hyperlink r:id="rId137" ref="L137"/>
    <hyperlink r:id="rId138" ref="L138"/>
    <hyperlink r:id="rId139" ref="L139"/>
    <hyperlink r:id="rId140" ref="L140"/>
    <hyperlink r:id="rId141" ref="L141"/>
    <hyperlink r:id="rId142" ref="L142"/>
    <hyperlink r:id="rId143" ref="L143"/>
    <hyperlink r:id="rId144" ref="L144"/>
    <hyperlink r:id="rId145" ref="L145"/>
    <hyperlink r:id="rId146" ref="L146"/>
    <hyperlink r:id="rId147" ref="L147"/>
    <hyperlink r:id="rId148" ref="L148"/>
    <hyperlink r:id="rId149" ref="L149"/>
    <hyperlink r:id="rId150" ref="L150"/>
    <hyperlink r:id="rId151" ref="L151"/>
    <hyperlink r:id="rId152" ref="L152"/>
    <hyperlink r:id="rId153" ref="L153"/>
    <hyperlink r:id="rId154" ref="L154"/>
    <hyperlink r:id="rId155" ref="L155"/>
    <hyperlink r:id="rId156" ref="L156"/>
    <hyperlink r:id="rId157" ref="L157"/>
    <hyperlink r:id="rId158" ref="L158"/>
    <hyperlink r:id="rId159" ref="L159"/>
    <hyperlink r:id="rId160" ref="L160"/>
    <hyperlink r:id="rId161" ref="L161"/>
    <hyperlink r:id="rId162" ref="L162"/>
    <hyperlink r:id="rId163" ref="L163"/>
    <hyperlink r:id="rId164" ref="L164"/>
    <hyperlink r:id="rId165" ref="L165"/>
    <hyperlink r:id="rId166" ref="L166"/>
    <hyperlink r:id="rId167" ref="L167"/>
    <hyperlink r:id="rId168" ref="L168"/>
    <hyperlink r:id="rId169" ref="L169"/>
    <hyperlink r:id="rId170" ref="L170"/>
    <hyperlink r:id="rId171" ref="L171"/>
    <hyperlink r:id="rId172" ref="L172"/>
    <hyperlink r:id="rId173" ref="L173"/>
    <hyperlink r:id="rId174" ref="L174"/>
    <hyperlink r:id="rId175" ref="L175"/>
    <hyperlink r:id="rId176" ref="L176"/>
    <hyperlink r:id="rId177" ref="L177"/>
    <hyperlink r:id="rId178" ref="L178"/>
    <hyperlink r:id="rId179" ref="L179"/>
    <hyperlink r:id="rId180" ref="L180"/>
    <hyperlink r:id="rId181" ref="L181"/>
    <hyperlink r:id="rId182" ref="L182"/>
    <hyperlink r:id="rId183" ref="L183"/>
    <hyperlink r:id="rId184" ref="L184"/>
    <hyperlink r:id="rId185" ref="L185"/>
    <hyperlink r:id="rId186" ref="L186"/>
    <hyperlink r:id="rId187" ref="L187"/>
    <hyperlink r:id="rId188" ref="L188"/>
    <hyperlink r:id="rId189" ref="L189"/>
    <hyperlink r:id="rId190" ref="L190"/>
    <hyperlink r:id="rId191" ref="L191"/>
    <hyperlink r:id="rId192" ref="L192"/>
    <hyperlink r:id="rId193" ref="L193"/>
    <hyperlink r:id="rId194" ref="L194"/>
    <hyperlink r:id="rId195" ref="L195"/>
    <hyperlink r:id="rId196" ref="L196"/>
    <hyperlink r:id="rId197" ref="L197"/>
    <hyperlink r:id="rId198" ref="L198"/>
    <hyperlink r:id="rId199" ref="L199"/>
    <hyperlink r:id="rId200" ref="L200"/>
    <hyperlink r:id="rId201" ref="L201"/>
    <hyperlink r:id="rId202" ref="L202"/>
    <hyperlink r:id="rId203" ref="L203"/>
    <hyperlink r:id="rId204" ref="L204"/>
    <hyperlink r:id="rId205" ref="L205"/>
    <hyperlink r:id="rId206" ref="L206"/>
    <hyperlink r:id="rId207" ref="L207"/>
    <hyperlink r:id="rId208" ref="L208"/>
    <hyperlink r:id="rId209" ref="L209"/>
    <hyperlink r:id="rId210" ref="L210"/>
    <hyperlink r:id="rId211" ref="L211"/>
    <hyperlink r:id="rId212" ref="L212"/>
    <hyperlink r:id="rId213" ref="L213"/>
    <hyperlink r:id="rId214" ref="L214"/>
    <hyperlink r:id="rId215" ref="L215"/>
    <hyperlink r:id="rId216" ref="L216"/>
    <hyperlink r:id="rId217" ref="L217"/>
    <hyperlink r:id="rId218" ref="L218"/>
    <hyperlink r:id="rId219" ref="L219"/>
    <hyperlink r:id="rId220" ref="L220"/>
    <hyperlink r:id="rId221" ref="L221"/>
    <hyperlink r:id="rId222" ref="L222"/>
    <hyperlink r:id="rId223" ref="L223"/>
    <hyperlink r:id="rId224" ref="L224"/>
    <hyperlink r:id="rId225" ref="L225"/>
    <hyperlink r:id="rId226" ref="L226"/>
    <hyperlink r:id="rId227" ref="L227"/>
    <hyperlink r:id="rId228" ref="L228"/>
    <hyperlink r:id="rId229" ref="L229"/>
    <hyperlink r:id="rId230" ref="L230"/>
    <hyperlink r:id="rId231" ref="L231"/>
    <hyperlink r:id="rId232" ref="L232"/>
    <hyperlink r:id="rId233" ref="L233"/>
    <hyperlink r:id="rId234" ref="L234"/>
    <hyperlink r:id="rId235" ref="L235"/>
    <hyperlink r:id="rId236" ref="L236"/>
    <hyperlink r:id="rId237" ref="L237"/>
    <hyperlink r:id="rId238" ref="L238"/>
    <hyperlink r:id="rId239" ref="L239"/>
    <hyperlink r:id="rId240" ref="L240"/>
    <hyperlink r:id="rId241" ref="L241"/>
    <hyperlink r:id="rId242" ref="L242"/>
    <hyperlink r:id="rId243" ref="L243"/>
    <hyperlink r:id="rId244" ref="L244"/>
    <hyperlink r:id="rId245" ref="L245"/>
    <hyperlink r:id="rId246" ref="L246"/>
    <hyperlink r:id="rId247" ref="L247"/>
    <hyperlink r:id="rId248" ref="L248"/>
    <hyperlink r:id="rId249" ref="L249"/>
    <hyperlink r:id="rId250" ref="L250"/>
    <hyperlink r:id="rId251" ref="L251"/>
    <hyperlink r:id="rId252" ref="L252"/>
    <hyperlink r:id="rId253" ref="L253"/>
    <hyperlink r:id="rId254" ref="L254"/>
    <hyperlink r:id="rId255" ref="L255"/>
    <hyperlink r:id="rId256" ref="L256"/>
    <hyperlink r:id="rId257" ref="L257"/>
    <hyperlink r:id="rId258" ref="L258"/>
    <hyperlink r:id="rId259" ref="L259"/>
    <hyperlink r:id="rId260" ref="L260"/>
    <hyperlink r:id="rId261" ref="L261"/>
    <hyperlink r:id="rId262" ref="L262"/>
    <hyperlink r:id="rId263" ref="L263"/>
    <hyperlink r:id="rId264" ref="L264"/>
    <hyperlink r:id="rId265" ref="L265"/>
    <hyperlink r:id="rId266" ref="F266"/>
    <hyperlink r:id="rId267" ref="L266"/>
    <hyperlink r:id="rId268" ref="L267"/>
    <hyperlink r:id="rId269" ref="L268"/>
    <hyperlink r:id="rId270" ref="L269"/>
    <hyperlink r:id="rId271" ref="L270"/>
    <hyperlink r:id="rId272" ref="L271"/>
    <hyperlink r:id="rId273" ref="L272"/>
    <hyperlink r:id="rId274" ref="L273"/>
    <hyperlink r:id="rId275" ref="L274"/>
    <hyperlink r:id="rId276" ref="L275"/>
    <hyperlink r:id="rId277" ref="L276"/>
    <hyperlink r:id="rId278" ref="L277"/>
    <hyperlink r:id="rId279" ref="L278"/>
    <hyperlink r:id="rId280" ref="L279"/>
    <hyperlink r:id="rId281" ref="L280"/>
    <hyperlink r:id="rId282" ref="L281"/>
    <hyperlink r:id="rId283" ref="L282"/>
    <hyperlink r:id="rId284" ref="L283"/>
    <hyperlink r:id="rId285" ref="L284"/>
    <hyperlink r:id="rId286" ref="L285"/>
    <hyperlink r:id="rId287" ref="L286"/>
    <hyperlink r:id="rId288" ref="L287"/>
    <hyperlink r:id="rId289" ref="L288"/>
    <hyperlink r:id="rId290" ref="L289"/>
    <hyperlink r:id="rId291" ref="L290"/>
    <hyperlink r:id="rId292" ref="L291"/>
    <hyperlink r:id="rId293" ref="L292"/>
    <hyperlink r:id="rId294" ref="L293"/>
    <hyperlink r:id="rId295" ref="L294"/>
    <hyperlink r:id="rId296" ref="L295"/>
    <hyperlink r:id="rId297" ref="L296"/>
    <hyperlink r:id="rId298" ref="L297"/>
    <hyperlink r:id="rId299" ref="L298"/>
    <hyperlink r:id="rId300" ref="L299"/>
    <hyperlink r:id="rId301" ref="L300"/>
    <hyperlink r:id="rId302" ref="L301"/>
    <hyperlink r:id="rId303" ref="L302"/>
    <hyperlink r:id="rId304" ref="L303"/>
    <hyperlink r:id="rId305" ref="L304"/>
    <hyperlink r:id="rId306" ref="L305"/>
    <hyperlink r:id="rId307" ref="L306"/>
    <hyperlink r:id="rId308" ref="L307"/>
    <hyperlink r:id="rId309" ref="L308"/>
    <hyperlink r:id="rId310" ref="L309"/>
    <hyperlink r:id="rId311" ref="L310"/>
    <hyperlink r:id="rId312" ref="L311"/>
    <hyperlink r:id="rId313" ref="L312"/>
    <hyperlink r:id="rId314" ref="L313"/>
    <hyperlink r:id="rId315" ref="L314"/>
    <hyperlink r:id="rId316" ref="L315"/>
    <hyperlink r:id="rId317" ref="L316"/>
    <hyperlink r:id="rId318" ref="L317"/>
    <hyperlink r:id="rId319" ref="L318"/>
    <hyperlink r:id="rId320" ref="L319"/>
    <hyperlink r:id="rId321" ref="L320"/>
    <hyperlink r:id="rId322" ref="L321"/>
    <hyperlink r:id="rId323" ref="L322"/>
    <hyperlink r:id="rId324" ref="L323"/>
    <hyperlink r:id="rId325" ref="L324"/>
    <hyperlink r:id="rId326" ref="L325"/>
    <hyperlink r:id="rId327" ref="L326"/>
    <hyperlink r:id="rId328" ref="L327"/>
    <hyperlink r:id="rId329" ref="L328"/>
    <hyperlink r:id="rId330" ref="L329"/>
    <hyperlink r:id="rId331" ref="L330"/>
    <hyperlink r:id="rId332" ref="L331"/>
    <hyperlink r:id="rId333" ref="L332"/>
    <hyperlink r:id="rId334" ref="L333"/>
    <hyperlink r:id="rId335" ref="L334"/>
    <hyperlink r:id="rId336" ref="L335"/>
    <hyperlink r:id="rId337" ref="F336"/>
    <hyperlink r:id="rId338" ref="L336"/>
    <hyperlink r:id="rId339" ref="F337"/>
    <hyperlink r:id="rId340" ref="L337"/>
    <hyperlink r:id="rId341" ref="L338"/>
    <hyperlink r:id="rId342" ref="L339"/>
    <hyperlink r:id="rId343" ref="L340"/>
    <hyperlink r:id="rId344" ref="L341"/>
    <hyperlink r:id="rId345" ref="F342"/>
    <hyperlink r:id="rId346" ref="L342"/>
    <hyperlink r:id="rId347" ref="L343"/>
    <hyperlink r:id="rId348" ref="L344"/>
    <hyperlink r:id="rId349" ref="L345"/>
    <hyperlink r:id="rId350" ref="L346"/>
    <hyperlink r:id="rId351" ref="L347"/>
    <hyperlink r:id="rId352" ref="L348"/>
    <hyperlink r:id="rId353" ref="L349"/>
    <hyperlink r:id="rId354" ref="L350"/>
    <hyperlink r:id="rId355" ref="L351"/>
    <hyperlink r:id="rId356" ref="L352"/>
    <hyperlink r:id="rId357" ref="L353"/>
    <hyperlink r:id="rId358" ref="L354"/>
    <hyperlink r:id="rId359" ref="L355"/>
    <hyperlink r:id="rId360" ref="L356"/>
    <hyperlink r:id="rId361" ref="L357"/>
    <hyperlink r:id="rId362" ref="L358"/>
    <hyperlink r:id="rId363" ref="L359"/>
    <hyperlink r:id="rId364" ref="L360"/>
    <hyperlink r:id="rId365" ref="L361"/>
    <hyperlink r:id="rId366" ref="L362"/>
    <hyperlink r:id="rId367" ref="L363"/>
    <hyperlink r:id="rId368" ref="L364"/>
    <hyperlink r:id="rId369" ref="L365"/>
    <hyperlink r:id="rId370" ref="L366"/>
    <hyperlink r:id="rId371" ref="L367"/>
    <hyperlink r:id="rId372" ref="L368"/>
    <hyperlink r:id="rId373" ref="L369"/>
    <hyperlink r:id="rId374" ref="L370"/>
    <hyperlink r:id="rId375" ref="L371"/>
    <hyperlink r:id="rId376" ref="L372"/>
    <hyperlink r:id="rId377" ref="L373"/>
    <hyperlink r:id="rId378" ref="L374"/>
    <hyperlink r:id="rId379" ref="L375"/>
    <hyperlink r:id="rId380" ref="L376"/>
    <hyperlink r:id="rId381" ref="L377"/>
    <hyperlink r:id="rId382" ref="L378"/>
    <hyperlink r:id="rId383" ref="L379"/>
    <hyperlink r:id="rId384" ref="L380"/>
    <hyperlink r:id="rId385" ref="L381"/>
    <hyperlink r:id="rId386" ref="L382"/>
    <hyperlink r:id="rId387" ref="L383"/>
    <hyperlink r:id="rId388" ref="L384"/>
    <hyperlink r:id="rId389" ref="L385"/>
    <hyperlink r:id="rId390" ref="L386"/>
    <hyperlink r:id="rId391" ref="L387"/>
    <hyperlink r:id="rId392" ref="L388"/>
    <hyperlink r:id="rId393" ref="L389"/>
    <hyperlink r:id="rId394" ref="L390"/>
    <hyperlink r:id="rId395" ref="L391"/>
    <hyperlink r:id="rId396" ref="L392"/>
    <hyperlink r:id="rId397" ref="L393"/>
    <hyperlink r:id="rId398" ref="L394"/>
    <hyperlink r:id="rId399" ref="L395"/>
    <hyperlink r:id="rId400" ref="L396"/>
    <hyperlink r:id="rId401" ref="L397"/>
    <hyperlink r:id="rId402" ref="L398"/>
    <hyperlink r:id="rId403" ref="L399"/>
    <hyperlink r:id="rId404" ref="L400"/>
    <hyperlink r:id="rId405" ref="L401"/>
    <hyperlink r:id="rId406" ref="L402"/>
    <hyperlink r:id="rId407" ref="L403"/>
    <hyperlink r:id="rId408" ref="L404"/>
    <hyperlink r:id="rId409" ref="L405"/>
    <hyperlink r:id="rId410" ref="L406"/>
    <hyperlink r:id="rId411" ref="L407"/>
    <hyperlink r:id="rId412" ref="L408"/>
    <hyperlink r:id="rId413" ref="L409"/>
    <hyperlink r:id="rId414" ref="L410"/>
    <hyperlink r:id="rId415" ref="L411"/>
    <hyperlink r:id="rId416" ref="L412"/>
    <hyperlink r:id="rId417" ref="L413"/>
    <hyperlink r:id="rId418" ref="L414"/>
    <hyperlink r:id="rId419" ref="L415"/>
    <hyperlink r:id="rId420" ref="L416"/>
    <hyperlink r:id="rId421" ref="L417"/>
    <hyperlink r:id="rId422" ref="L418"/>
    <hyperlink r:id="rId423" ref="L419"/>
    <hyperlink r:id="rId424" ref="L420"/>
    <hyperlink r:id="rId425" ref="L421"/>
    <hyperlink r:id="rId426" ref="L422"/>
    <hyperlink r:id="rId427" ref="L423"/>
    <hyperlink r:id="rId428" ref="L424"/>
    <hyperlink r:id="rId429" ref="L425"/>
    <hyperlink r:id="rId430" ref="L426"/>
    <hyperlink r:id="rId431" ref="L427"/>
    <hyperlink r:id="rId432" ref="L428"/>
    <hyperlink r:id="rId433" ref="L429"/>
    <hyperlink r:id="rId434" ref="L430"/>
    <hyperlink r:id="rId435" ref="L431"/>
    <hyperlink r:id="rId436" ref="L432"/>
    <hyperlink r:id="rId437" ref="L433"/>
    <hyperlink r:id="rId438" ref="L434"/>
    <hyperlink r:id="rId439" ref="L435"/>
    <hyperlink r:id="rId440" ref="L436"/>
    <hyperlink r:id="rId441" ref="L437"/>
    <hyperlink r:id="rId442" ref="L438"/>
    <hyperlink r:id="rId443" ref="L439"/>
    <hyperlink r:id="rId444" ref="L440"/>
    <hyperlink r:id="rId445" ref="L441"/>
    <hyperlink r:id="rId446" ref="L442"/>
    <hyperlink r:id="rId447" ref="L443"/>
    <hyperlink r:id="rId448" ref="L444"/>
    <hyperlink r:id="rId449" ref="L445"/>
    <hyperlink r:id="rId450" ref="L446"/>
    <hyperlink r:id="rId451" ref="L447"/>
    <hyperlink r:id="rId452" ref="L448"/>
    <hyperlink r:id="rId453" ref="L449"/>
    <hyperlink r:id="rId454" ref="L450"/>
    <hyperlink r:id="rId455" ref="L451"/>
    <hyperlink r:id="rId456" ref="L452"/>
    <hyperlink r:id="rId457" ref="L453"/>
    <hyperlink r:id="rId458" ref="L454"/>
    <hyperlink r:id="rId459" ref="L455"/>
    <hyperlink r:id="rId460" ref="L456"/>
    <hyperlink r:id="rId461" ref="L457"/>
    <hyperlink r:id="rId462" ref="L458"/>
    <hyperlink r:id="rId463" ref="L459"/>
    <hyperlink r:id="rId464" ref="L460"/>
    <hyperlink r:id="rId465" ref="L461"/>
    <hyperlink r:id="rId466" ref="L462"/>
    <hyperlink r:id="rId467" ref="L463"/>
    <hyperlink r:id="rId468" ref="L464"/>
    <hyperlink r:id="rId469" ref="L465"/>
    <hyperlink r:id="rId470" ref="L466"/>
    <hyperlink r:id="rId471" ref="L467"/>
    <hyperlink r:id="rId472" ref="L468"/>
    <hyperlink r:id="rId473" ref="L469"/>
    <hyperlink r:id="rId474" ref="L470"/>
    <hyperlink r:id="rId475" ref="L471"/>
    <hyperlink r:id="rId476" ref="L472"/>
    <hyperlink r:id="rId477" ref="L473"/>
    <hyperlink r:id="rId478" ref="L474"/>
    <hyperlink r:id="rId479" ref="L475"/>
    <hyperlink r:id="rId480" ref="L476"/>
    <hyperlink r:id="rId481" ref="L477"/>
    <hyperlink r:id="rId482" ref="L478"/>
    <hyperlink r:id="rId483" ref="L479"/>
    <hyperlink r:id="rId484" ref="L480"/>
    <hyperlink r:id="rId485" ref="L481"/>
    <hyperlink r:id="rId486" ref="L482"/>
    <hyperlink r:id="rId487" ref="L483"/>
    <hyperlink r:id="rId488" ref="L484"/>
    <hyperlink r:id="rId489" ref="L485"/>
    <hyperlink r:id="rId490" ref="L486"/>
    <hyperlink r:id="rId491" ref="L487"/>
    <hyperlink r:id="rId492" ref="L488"/>
    <hyperlink r:id="rId493" ref="L489"/>
    <hyperlink r:id="rId494" ref="L490"/>
    <hyperlink r:id="rId495" ref="L491"/>
    <hyperlink r:id="rId496" ref="L492"/>
    <hyperlink r:id="rId497" ref="L493"/>
    <hyperlink r:id="rId498" ref="L494"/>
    <hyperlink r:id="rId499" ref="L495"/>
    <hyperlink r:id="rId500" ref="L496"/>
    <hyperlink r:id="rId501" ref="L497"/>
    <hyperlink r:id="rId502" ref="L498"/>
    <hyperlink r:id="rId503" ref="L499"/>
    <hyperlink r:id="rId504" ref="L500"/>
    <hyperlink r:id="rId505" ref="L501"/>
    <hyperlink r:id="rId506" ref="L502"/>
    <hyperlink r:id="rId507" ref="L503"/>
    <hyperlink r:id="rId508" ref="L504"/>
    <hyperlink r:id="rId509" ref="L505"/>
    <hyperlink r:id="rId510" ref="L506"/>
    <hyperlink r:id="rId511" ref="L507"/>
    <hyperlink r:id="rId512" ref="L508"/>
    <hyperlink r:id="rId513" ref="L509"/>
    <hyperlink r:id="rId514" ref="L510"/>
    <hyperlink r:id="rId515" ref="L511"/>
    <hyperlink r:id="rId516" ref="L512"/>
    <hyperlink r:id="rId517" ref="L513"/>
    <hyperlink r:id="rId518" ref="L514"/>
    <hyperlink r:id="rId519" ref="L515"/>
    <hyperlink r:id="rId520" ref="L516"/>
    <hyperlink r:id="rId521" ref="L517"/>
    <hyperlink r:id="rId522" ref="L518"/>
    <hyperlink r:id="rId523" ref="L519"/>
    <hyperlink r:id="rId524" ref="L520"/>
    <hyperlink r:id="rId525" ref="L521"/>
    <hyperlink r:id="rId526" ref="L522"/>
    <hyperlink r:id="rId527" ref="L523"/>
    <hyperlink r:id="rId528" ref="L524"/>
    <hyperlink r:id="rId529" ref="L525"/>
    <hyperlink r:id="rId530" ref="L526"/>
    <hyperlink r:id="rId531" ref="L527"/>
    <hyperlink r:id="rId532" ref="L528"/>
    <hyperlink r:id="rId533" ref="L529"/>
    <hyperlink r:id="rId534" ref="L530"/>
    <hyperlink r:id="rId535" ref="L531"/>
    <hyperlink r:id="rId536" ref="L532"/>
    <hyperlink r:id="rId537" ref="L533"/>
    <hyperlink r:id="rId538" ref="L534"/>
    <hyperlink r:id="rId539" ref="L535"/>
    <hyperlink r:id="rId540" ref="L536"/>
    <hyperlink r:id="rId541" ref="L537"/>
    <hyperlink r:id="rId542" ref="L538"/>
    <hyperlink r:id="rId543" ref="L539"/>
    <hyperlink r:id="rId544" ref="L540"/>
    <hyperlink r:id="rId545" ref="L541"/>
    <hyperlink r:id="rId546" ref="L542"/>
    <hyperlink r:id="rId547" ref="L543"/>
    <hyperlink r:id="rId548" ref="L544"/>
    <hyperlink r:id="rId549" ref="L545"/>
    <hyperlink r:id="rId550" ref="L546"/>
    <hyperlink r:id="rId551" ref="L547"/>
    <hyperlink r:id="rId552" ref="L548"/>
    <hyperlink r:id="rId553" ref="L549"/>
    <hyperlink r:id="rId554" ref="L550"/>
    <hyperlink r:id="rId555" ref="L551"/>
    <hyperlink r:id="rId556" ref="L552"/>
    <hyperlink r:id="rId557" ref="L553"/>
    <hyperlink r:id="rId558" ref="L554"/>
    <hyperlink r:id="rId559" ref="L555"/>
    <hyperlink r:id="rId560" ref="L556"/>
    <hyperlink r:id="rId561" ref="L557"/>
    <hyperlink r:id="rId562" ref="L558"/>
    <hyperlink r:id="rId563" ref="L559"/>
    <hyperlink r:id="rId564" ref="L560"/>
    <hyperlink r:id="rId565" ref="L561"/>
    <hyperlink r:id="rId566" ref="L562"/>
    <hyperlink r:id="rId567" ref="L563"/>
    <hyperlink r:id="rId568" ref="L564"/>
    <hyperlink r:id="rId569" ref="L565"/>
    <hyperlink r:id="rId570" ref="L566"/>
    <hyperlink r:id="rId571" ref="L567"/>
    <hyperlink r:id="rId572" ref="L568"/>
    <hyperlink r:id="rId573" ref="L569"/>
    <hyperlink r:id="rId574" ref="L570"/>
    <hyperlink r:id="rId575" ref="L571"/>
    <hyperlink r:id="rId576" ref="L572"/>
    <hyperlink r:id="rId577" ref="L573"/>
    <hyperlink r:id="rId578" ref="L574"/>
    <hyperlink r:id="rId579" ref="L575"/>
    <hyperlink r:id="rId580" ref="L576"/>
    <hyperlink r:id="rId581" ref="L577"/>
    <hyperlink r:id="rId582" ref="L578"/>
    <hyperlink r:id="rId583" ref="L579"/>
    <hyperlink r:id="rId584" ref="L580"/>
    <hyperlink r:id="rId585" ref="L581"/>
    <hyperlink r:id="rId586" ref="L582"/>
    <hyperlink r:id="rId587" ref="L583"/>
    <hyperlink r:id="rId588" ref="L584"/>
    <hyperlink r:id="rId589" ref="L585"/>
    <hyperlink r:id="rId590" ref="L586"/>
    <hyperlink r:id="rId591" ref="L587"/>
    <hyperlink r:id="rId592" ref="L588"/>
    <hyperlink r:id="rId593" ref="L589"/>
    <hyperlink r:id="rId594" ref="L590"/>
    <hyperlink r:id="rId595" ref="L591"/>
    <hyperlink r:id="rId596" ref="L592"/>
    <hyperlink r:id="rId597" ref="L593"/>
    <hyperlink r:id="rId598" ref="L594"/>
    <hyperlink r:id="rId599" ref="L595"/>
    <hyperlink r:id="rId600" ref="L596"/>
    <hyperlink r:id="rId601" ref="L597"/>
    <hyperlink r:id="rId602" ref="L598"/>
    <hyperlink r:id="rId603" ref="L599"/>
    <hyperlink r:id="rId604" ref="L600"/>
    <hyperlink r:id="rId605" ref="L601"/>
    <hyperlink r:id="rId606" ref="L602"/>
    <hyperlink r:id="rId607" ref="L603"/>
    <hyperlink r:id="rId608" ref="L604"/>
    <hyperlink r:id="rId609" ref="L605"/>
    <hyperlink r:id="rId610" ref="L606"/>
    <hyperlink r:id="rId611" ref="L607"/>
    <hyperlink r:id="rId612" ref="L608"/>
    <hyperlink r:id="rId613" ref="L609"/>
    <hyperlink r:id="rId614" ref="L610"/>
    <hyperlink r:id="rId615" ref="L611"/>
    <hyperlink r:id="rId616" ref="F612"/>
    <hyperlink r:id="rId617" ref="L612"/>
    <hyperlink r:id="rId618" ref="L613"/>
    <hyperlink r:id="rId619" ref="F614"/>
    <hyperlink r:id="rId620" ref="L614"/>
    <hyperlink r:id="rId621" ref="L615"/>
    <hyperlink r:id="rId622" ref="L616"/>
    <hyperlink r:id="rId623" ref="L617"/>
    <hyperlink r:id="rId624" ref="L618"/>
    <hyperlink r:id="rId625" ref="L619"/>
    <hyperlink r:id="rId626" ref="L620"/>
    <hyperlink r:id="rId627" ref="L621"/>
    <hyperlink r:id="rId628" ref="L622"/>
    <hyperlink r:id="rId629" ref="L623"/>
    <hyperlink r:id="rId630" ref="L624"/>
    <hyperlink r:id="rId631" ref="L625"/>
    <hyperlink r:id="rId632" ref="L626"/>
    <hyperlink r:id="rId633" ref="L627"/>
    <hyperlink r:id="rId634" ref="F628"/>
    <hyperlink r:id="rId635" ref="L628"/>
    <hyperlink r:id="rId636" ref="L629"/>
    <hyperlink r:id="rId637" ref="F630"/>
    <hyperlink r:id="rId638" ref="L630"/>
    <hyperlink r:id="rId639" ref="L631"/>
    <hyperlink r:id="rId640" ref="F632"/>
    <hyperlink r:id="rId641" ref="L632"/>
    <hyperlink r:id="rId642" ref="L633"/>
    <hyperlink r:id="rId643" ref="L634"/>
    <hyperlink r:id="rId644" ref="L635"/>
    <hyperlink r:id="rId645" ref="L636"/>
    <hyperlink r:id="rId646" ref="L637"/>
    <hyperlink r:id="rId647" ref="L638"/>
    <hyperlink r:id="rId648" ref="L639"/>
    <hyperlink r:id="rId649" ref="L640"/>
    <hyperlink r:id="rId650" ref="L641"/>
    <hyperlink r:id="rId651" ref="L642"/>
    <hyperlink r:id="rId652" ref="L643"/>
    <hyperlink r:id="rId653" ref="L644"/>
    <hyperlink r:id="rId654" ref="L645"/>
    <hyperlink r:id="rId655" ref="L646"/>
    <hyperlink r:id="rId656" ref="L647"/>
    <hyperlink r:id="rId657" ref="L648"/>
    <hyperlink r:id="rId658" ref="L649"/>
    <hyperlink r:id="rId659" ref="L650"/>
    <hyperlink r:id="rId660" ref="L651"/>
    <hyperlink r:id="rId661" ref="L652"/>
    <hyperlink r:id="rId662" ref="L653"/>
    <hyperlink r:id="rId663" ref="L654"/>
    <hyperlink r:id="rId664" ref="L655"/>
    <hyperlink r:id="rId665" ref="L656"/>
    <hyperlink r:id="rId666" ref="L657"/>
    <hyperlink r:id="rId667" ref="L658"/>
    <hyperlink r:id="rId668" ref="L659"/>
    <hyperlink r:id="rId669" ref="L660"/>
    <hyperlink r:id="rId670" ref="L661"/>
    <hyperlink r:id="rId671" ref="L662"/>
    <hyperlink r:id="rId672" ref="L663"/>
    <hyperlink r:id="rId673" ref="L664"/>
    <hyperlink r:id="rId674" ref="L665"/>
    <hyperlink r:id="rId675" ref="L666"/>
    <hyperlink r:id="rId676" ref="L667"/>
    <hyperlink r:id="rId677" ref="L668"/>
    <hyperlink r:id="rId678" ref="L669"/>
    <hyperlink r:id="rId679" ref="L670"/>
    <hyperlink r:id="rId680" ref="L671"/>
    <hyperlink r:id="rId681" ref="L672"/>
    <hyperlink r:id="rId682" ref="L673"/>
    <hyperlink r:id="rId683" ref="L674"/>
    <hyperlink r:id="rId684" ref="L675"/>
    <hyperlink r:id="rId685" ref="L676"/>
    <hyperlink r:id="rId686" ref="L677"/>
    <hyperlink r:id="rId687" ref="L678"/>
    <hyperlink r:id="rId688" ref="L679"/>
    <hyperlink r:id="rId689" ref="L680"/>
    <hyperlink r:id="rId690" ref="L681"/>
    <hyperlink r:id="rId691" ref="L682"/>
    <hyperlink r:id="rId692" ref="L683"/>
    <hyperlink r:id="rId693" ref="L684"/>
    <hyperlink r:id="rId694" ref="L685"/>
    <hyperlink r:id="rId695" ref="L686"/>
    <hyperlink r:id="rId696" ref="L687"/>
    <hyperlink r:id="rId697" ref="L688"/>
    <hyperlink r:id="rId698" ref="L689"/>
    <hyperlink r:id="rId699" ref="L690"/>
    <hyperlink r:id="rId700" ref="L691"/>
    <hyperlink r:id="rId701" ref="L692"/>
    <hyperlink r:id="rId702" ref="L693"/>
    <hyperlink r:id="rId703" ref="L694"/>
    <hyperlink r:id="rId704" ref="L695"/>
    <hyperlink r:id="rId705" ref="L696"/>
    <hyperlink r:id="rId706" ref="L697"/>
    <hyperlink r:id="rId707" ref="L698"/>
    <hyperlink r:id="rId708" ref="L699"/>
    <hyperlink r:id="rId709" ref="L700"/>
    <hyperlink r:id="rId710" ref="L701"/>
    <hyperlink r:id="rId711" ref="L702"/>
    <hyperlink r:id="rId712" ref="L703"/>
    <hyperlink r:id="rId713" ref="L704"/>
    <hyperlink r:id="rId714" ref="L705"/>
    <hyperlink r:id="rId715" ref="L706"/>
    <hyperlink r:id="rId716" ref="L707"/>
    <hyperlink r:id="rId717" ref="L708"/>
    <hyperlink r:id="rId718" ref="L709"/>
    <hyperlink r:id="rId719" ref="L710"/>
    <hyperlink r:id="rId720" ref="L711"/>
    <hyperlink r:id="rId721" ref="L712"/>
    <hyperlink r:id="rId722" ref="L713"/>
    <hyperlink r:id="rId723" ref="L714"/>
    <hyperlink r:id="rId724" ref="L715"/>
    <hyperlink r:id="rId725" ref="L716"/>
    <hyperlink r:id="rId726" ref="L717"/>
    <hyperlink r:id="rId727" ref="L718"/>
    <hyperlink r:id="rId728" ref="L719"/>
    <hyperlink r:id="rId729" ref="L720"/>
    <hyperlink r:id="rId730" ref="L721"/>
    <hyperlink r:id="rId731" ref="L722"/>
    <hyperlink r:id="rId732" ref="L723"/>
    <hyperlink r:id="rId733" ref="L724"/>
    <hyperlink r:id="rId734" ref="L725"/>
    <hyperlink r:id="rId735" ref="L726"/>
    <hyperlink r:id="rId736" ref="L727"/>
    <hyperlink r:id="rId737" ref="L728"/>
    <hyperlink r:id="rId738" ref="L729"/>
    <hyperlink r:id="rId739" ref="L730"/>
    <hyperlink r:id="rId740" ref="L731"/>
    <hyperlink r:id="rId741" ref="L732"/>
    <hyperlink r:id="rId742" ref="L733"/>
    <hyperlink r:id="rId743" ref="L734"/>
    <hyperlink r:id="rId744" ref="L735"/>
    <hyperlink r:id="rId745" ref="L736"/>
    <hyperlink r:id="rId746" ref="L737"/>
    <hyperlink r:id="rId747" ref="L738"/>
    <hyperlink r:id="rId748" ref="L739"/>
    <hyperlink r:id="rId749" ref="L740"/>
    <hyperlink r:id="rId750" ref="L741"/>
    <hyperlink r:id="rId751" ref="L742"/>
    <hyperlink r:id="rId752" ref="L743"/>
    <hyperlink r:id="rId753" ref="L744"/>
    <hyperlink r:id="rId754" ref="L745"/>
  </hyperlinks>
  <drawing r:id="rId755"/>
  <tableParts count="1">
    <tablePart r:id="rId757"/>
  </tableParts>
</worksheet>
</file>